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<sst xmlns="http://schemas.openxmlformats.org/spreadsheetml/2006/main" uniqueCount="301">
  <si>
    <t>Agenda 2063 First Ten Year Implementation Plan (FTYIP) Progress Reporting Template</t>
  </si>
  <si>
    <t>3rd Biennial Report, 2023</t>
  </si>
  <si>
    <t>Member State</t>
  </si>
  <si>
    <t>Eswatini</t>
  </si>
  <si>
    <t>Overall Performance Rating</t>
  </si>
  <si>
    <t>Reporting Date</t>
  </si>
  <si>
    <t>Priority Area</t>
  </si>
  <si>
    <t>P- Weight</t>
  </si>
  <si>
    <t>Agenda 2063 Target</t>
  </si>
  <si>
    <t>T1 - Weight</t>
  </si>
  <si>
    <t>A63 Indicators</t>
  </si>
  <si>
    <t>I1 - Weight</t>
  </si>
  <si>
    <t>2023 Current Indicator Value</t>
  </si>
  <si>
    <t>Base value (2013)</t>
  </si>
  <si>
    <t xml:space="preserve">Indicator Performance (IP) </t>
  </si>
  <si>
    <t>Expected Increase / Reduction by 2023</t>
  </si>
  <si>
    <t>Expected Indicator Value by 2023</t>
  </si>
  <si>
    <t>Performance Rating</t>
  </si>
  <si>
    <t>Priority Area Dashboard</t>
  </si>
  <si>
    <t xml:space="preserve">Priority Area Scores </t>
  </si>
  <si>
    <t>Indexed Priority Area Dashboard</t>
  </si>
  <si>
    <t>Corresponding SDG Indicator</t>
  </si>
  <si>
    <t>Data Sources</t>
  </si>
  <si>
    <t>Remarks</t>
  </si>
  <si>
    <t>ASPIRATION 1: A Prosperous Africa Based on Inclusive Growth and Sustainable Development</t>
  </si>
  <si>
    <t>GOAL 1: A High Standard of Living, Quality of Life and Well Being for All</t>
  </si>
  <si>
    <t>1. Incomes, Jobs and decent work</t>
  </si>
  <si>
    <t>Increase 2013 per capita income by at least 30%</t>
  </si>
  <si>
    <t>Real Gross Domestic Product (GDP) Per Capita</t>
  </si>
  <si>
    <t>8.1.1 Annual growth rate of real GDP per capita</t>
  </si>
  <si>
    <t>CSO GDP Forecast Report, 2022</t>
  </si>
  <si>
    <t>no_year</t>
  </si>
  <si>
    <t>Reduce 2013 unemployment rate by at least  25%</t>
  </si>
  <si>
    <t>Unemployment rate</t>
  </si>
  <si>
    <t>8.5.2 Unemployment rate, by sex, age group and persons with disabilities</t>
  </si>
  <si>
    <t>LSF, 2021</t>
  </si>
  <si>
    <t>2. Poverty, Inequality and Hunger</t>
  </si>
  <si>
    <t>Reduce 2013 income inequality level by at least  20%</t>
  </si>
  <si>
    <t>Gini coefficient</t>
  </si>
  <si>
    <t>NIL</t>
  </si>
  <si>
    <t>EHIES, 2017</t>
  </si>
  <si>
    <t>Reduce 2013 levels of poverty by at least 30%</t>
  </si>
  <si>
    <t>% of population living below the national poverty line</t>
  </si>
  <si>
    <t>1.1.1 Proportion of population living below the international poverty line by sex, age, eployment status and geographical location (Urban/Rural)</t>
  </si>
  <si>
    <t xml:space="preserve">Reduce 2013 levels of proportion of the population who suffer from hunger by at least 80% </t>
  </si>
  <si>
    <t>Prevalence of undernourishment</t>
  </si>
  <si>
    <t>6.1.1 Percentage of population using safely managed drinking water services</t>
  </si>
  <si>
    <t>MICS, 2014</t>
  </si>
  <si>
    <t>3. Modern and Liveable Habitats and Basic Quality Services</t>
  </si>
  <si>
    <t>Increase access and use of electricity and internet by at least 50% of the 2013 levels</t>
  </si>
  <si>
    <t>a)% of households with access to electricity</t>
  </si>
  <si>
    <t>7.1.1 Proportion of population with access to electricity</t>
  </si>
  <si>
    <t>MNRE Annual Report, 2022</t>
  </si>
  <si>
    <t>b) % of population with access to internet</t>
  </si>
  <si>
    <t>ESCCOM, ICT Sector Report, 2022, EHIES, 2010</t>
  </si>
  <si>
    <t>c) % of population using internet</t>
  </si>
  <si>
    <t>17.8.1 Proportion of individuals using the Internet</t>
  </si>
  <si>
    <t>ESCCOM, ICT Sector Report, 2022, HIES, 2010</t>
  </si>
  <si>
    <t>Reduce 2013 level of proportion of the population without access to safe drinking water by 95%.</t>
  </si>
  <si>
    <t>% of population with access to safe drinking water</t>
  </si>
  <si>
    <t>MICS, 2014 AND EHIES, 2017</t>
  </si>
  <si>
    <t>Reduce Slums by at least 10%</t>
  </si>
  <si>
    <t>Proportion of urban population living in slums, informal settlements or inadequate housing</t>
  </si>
  <si>
    <t xml:space="preserve">11.1.1 Proportion of urban population living in slums,informal settlements or inadequate housing </t>
  </si>
  <si>
    <t>MHUD ANNUAL REPORT, 2021</t>
  </si>
  <si>
    <t>Reduce the proportion of the population with poor sanitation facilities by 95%</t>
  </si>
  <si>
    <t>% of population using safely managed sanitation services</t>
  </si>
  <si>
    <t>6.2.1 Proportion of population using (a) safely managed sanitation services and (b) a hand-washing facility with soap and wate</t>
  </si>
  <si>
    <t>GOAL 2: Well Educated Citizens and Skills revolution underpinned by Science, Technology and Innovation</t>
  </si>
  <si>
    <t xml:space="preserve">1. Education and STI driven Skills Revolution   </t>
  </si>
  <si>
    <t>Enrolment rate for early childhood education is at least 300% of the 2013 rate</t>
  </si>
  <si>
    <t>% of children of pre-school age attending pre school</t>
  </si>
  <si>
    <t>4.2.2 Participation rate in organized learning (one year before the official primary entry age), by sex</t>
  </si>
  <si>
    <t>EMIS REPORT, 2018</t>
  </si>
  <si>
    <t xml:space="preserve">Enrolment rate for basic education is 100% </t>
  </si>
  <si>
    <t>Net enrolment rate by sex  and age in primary school</t>
  </si>
  <si>
    <t>4.1.1 Proportion of children: (b) at the end of primary; and achieving at least a minimum proficiency level in (i) reading and (ii) mathematics, by sex</t>
  </si>
  <si>
    <t>Increase the number of qualified teachers by at least 30% with focus on STEM</t>
  </si>
  <si>
    <t xml:space="preserve">Proportion of teachers qualified in Science or Technology or Engineering or Mathematics by Sex and Level (Primary and Secondary)  </t>
  </si>
  <si>
    <t>4.c.1 Proportion of teachers in: (a) pre-primary; (b) primary; (c) lower secondary; and (d) upper secondary education who have received at least the minimum organized teacher training (e.g. pedagogical training) pre-service or in-service required for teaching at the relevant level in a given country</t>
  </si>
  <si>
    <t xml:space="preserve">Universal secondary school (including technical high schools) with enrolment rate of 100% </t>
  </si>
  <si>
    <t>Secondary school net enrolment rate</t>
  </si>
  <si>
    <t>GOAL 3: Healthy and Well-Nourished Citizens</t>
  </si>
  <si>
    <t>1. Health and Nutrition</t>
  </si>
  <si>
    <t xml:space="preserve">Increase 2013 levels of access to sexual and reproductive health services to women by at least 30% </t>
  </si>
  <si>
    <t>% of women aged 15-49 who have access to sexual and reproductive health service in the last 12 months</t>
  </si>
  <si>
    <t>3.7.1 Proportion of women of reproductive age (aged 15–49 years) who have their need for family planning satisfied with modern methods</t>
  </si>
  <si>
    <t>HMIS, 2022</t>
  </si>
  <si>
    <t>Reduce 2013 maternal mortality rates by at least 50%</t>
  </si>
  <si>
    <t xml:space="preserve">a) Maternal mortality ratio                                                                                 </t>
  </si>
  <si>
    <t>3.1.1 Maternal mortality ratio</t>
  </si>
  <si>
    <t>b) Neo-natal mortality rate</t>
  </si>
  <si>
    <t>3.2.2 Neonatal mortality rate</t>
  </si>
  <si>
    <t xml:space="preserve">c) Under five mortality rate  </t>
  </si>
  <si>
    <t>3.2.1 Under‑5 mortality rate</t>
  </si>
  <si>
    <t xml:space="preserve">Impact of Covid-19 restrictions on access to health servicers. </t>
  </si>
  <si>
    <t>Reduce the  2013 incidence  of HIV/AIDs, Malaria and TB by at least 80%</t>
  </si>
  <si>
    <t>Number of New HIV infections per 1000 population</t>
  </si>
  <si>
    <t>3.3.1 Number of new HIV infections per 1,000 uninfected population, by sex, age and key populations</t>
  </si>
  <si>
    <t>SHIMS III, 2022</t>
  </si>
  <si>
    <t>TB incedence per 1000 persons per year</t>
  </si>
  <si>
    <t>3.3.2 Tuberculosis incidence per 100,000 population</t>
  </si>
  <si>
    <t>Malaria incidence per 1000 per year</t>
  </si>
  <si>
    <t>3.3.3 Malaria incidence per 1,000 population</t>
  </si>
  <si>
    <t>Access to Anti-Retroviral (ARV) drugs  is 100%</t>
  </si>
  <si>
    <t>% of eligible population with HIV having access to Anti-Retroviral Treatment</t>
  </si>
  <si>
    <t>Reduce stunting in children to 10% and underweight to 5%.</t>
  </si>
  <si>
    <t>Prevalence of underweight among children under 5</t>
  </si>
  <si>
    <t>2.2.2 Prevalence of malnutrition (weight for height &gt;+2 or &lt;-2 standard deviation from the median of the WHO Child Growth Standards) among children under 5 years of age, by type (wasting and overweight) 
2</t>
  </si>
  <si>
    <t>GOAL 4: Transformed Economies and Job Creation</t>
  </si>
  <si>
    <t xml:space="preserve">1. Sustainable inclusive economic growth </t>
  </si>
  <si>
    <t>Annual GDP growth rate of at least 7%</t>
  </si>
  <si>
    <t>Real GDP growth rate</t>
  </si>
  <si>
    <t>2. STI driven Manufacturing / Industrialization and Value Addition</t>
  </si>
  <si>
    <t>At least 1% of GDP is allocated to science, technology and innovation research and STI driven entrepreneurship development.</t>
  </si>
  <si>
    <t>Research and development expenditure as a proportion of GDP</t>
  </si>
  <si>
    <t>9.2.1 Manufacturing value added as a proportion of GDP and per capita</t>
  </si>
  <si>
    <t>3. Economic diversification and resilience</t>
  </si>
  <si>
    <t>Real value of manufacturing in GDP is 50% more than the 2013 level.</t>
  </si>
  <si>
    <t xml:space="preserve">Manufacturing value added as % of GDP </t>
  </si>
  <si>
    <t>9.5.1 Research and development expenditure as a proportion of GDP</t>
  </si>
  <si>
    <t xml:space="preserve">4. Hospitality / Tourism </t>
  </si>
  <si>
    <t>Contribution of tourism to GDP in real terms is increased by at least 100%.</t>
  </si>
  <si>
    <t>Tourism value added as a proportion of GDP</t>
  </si>
  <si>
    <t>8.9.1 Tourism direct GDP as a proportion of total GDP and in growth rate</t>
  </si>
  <si>
    <t>GOAL 5: Modern Agriculture for increased productivity and production</t>
  </si>
  <si>
    <t>1. Agricultural  productivity and production</t>
  </si>
  <si>
    <t>5.1.1 Double  agricultural total factor productivity</t>
  </si>
  <si>
    <t>Growth rate of yields for the 1st national priority commodity (XXXXXXXX)</t>
  </si>
  <si>
    <t>2.3.1 Volume of production per labour unit by classes of farming/pastoral/forestry enterprise size</t>
  </si>
  <si>
    <t>VAC Report, 2022</t>
  </si>
  <si>
    <t>Growth rate of yields for the 2nd national priority commodity (XXXXXXXX)</t>
  </si>
  <si>
    <t>MoA Annual Report, 2022/23</t>
  </si>
  <si>
    <t>Growth rate of yields for the 3rd  national priority commodity (XXXXXXX)</t>
  </si>
  <si>
    <t>Citrus Board Annual Report, 2022</t>
  </si>
  <si>
    <t>Growth rate of yields for the 4th national priority commodity (XXXXXXXX)</t>
  </si>
  <si>
    <t>Growth rate of yields for the 5th national priority commodity (XXXXXXXX)</t>
  </si>
  <si>
    <t>SSA Annual Report, 2022</t>
  </si>
  <si>
    <t>GOAL 6: Blue/ ocean economy for accelerated economic growth</t>
  </si>
  <si>
    <t>1. Marine resources  and Energy</t>
  </si>
  <si>
    <t>6.1.1 At least 50% increase in value addition in the fishery sector  in real term is attained by 2023</t>
  </si>
  <si>
    <t>Fishery Sector value added ( as share of GDP)</t>
  </si>
  <si>
    <t>14.7.1 Sustainable fisheries as a proportion of GDP in small island developing States, least developed countries and all countries</t>
  </si>
  <si>
    <t>6.1.2 Marine bio-technology contribution to GDP is increased in real terms by at least 50% from the 2013 levels</t>
  </si>
  <si>
    <t>Marine biotechnology value added as a % of GDP</t>
  </si>
  <si>
    <t>N/A</t>
  </si>
  <si>
    <t>GOAL 7: Environmentally sustainable climate resilient economies and communities</t>
  </si>
  <si>
    <t>1. Bio-diversity, conservation and sustainable natural resource management.</t>
  </si>
  <si>
    <t>7.1.1 At least 30% of agricultural land is placed under sustainable land management practice</t>
  </si>
  <si>
    <t>% of agricultural land placed under sustainable land management practice.</t>
  </si>
  <si>
    <t>2.4.1 Proportion of agricultural area under productive and sustainable agriculture</t>
  </si>
  <si>
    <t>MoA Report, 2017.</t>
  </si>
  <si>
    <t>7.1.2 At least 17%  of terrestrial and inland water and 10%  of coastal and marine areas are preserved</t>
  </si>
  <si>
    <t xml:space="preserve">a) % of terrestrial and inland water areas preserved.                                                         </t>
  </si>
  <si>
    <t>15.1.2 Proportion of important sites for terrestrial and freshwater biodiversity that are covered by protected areas, by ecosystem type</t>
  </si>
  <si>
    <t>National Biodivesirty Strategy and Action Plan, 2016 and 2020</t>
  </si>
  <si>
    <t>b) % of coastal and marine areas preserved</t>
  </si>
  <si>
    <t xml:space="preserve">14.5.1 Coverage of protected areas in relation to marine areas </t>
  </si>
  <si>
    <t>ASPIRATION 2: An Integrated Continent, Politically United and Based on the Ideals of Pan-Africanism and a Vision of African Renaissance</t>
  </si>
  <si>
    <t>GOAL 8:  United Africa (Federal or Confederate)</t>
  </si>
  <si>
    <t>1. Political and economic integration</t>
  </si>
  <si>
    <t>8.1.1 Active member of the African Free Trade Area</t>
  </si>
  <si>
    <t>a)  No. of Non-tariff barriers (NTBs) reported</t>
  </si>
  <si>
    <t>MoCTI Report, 2021</t>
  </si>
  <si>
    <t xml:space="preserve">b) Proportion of reported Non-tarrif barriers (NTBs) eliminated </t>
  </si>
  <si>
    <t>8.1.2 Volume of intra-African trade is at least three times the 2013 level</t>
  </si>
  <si>
    <t>Percentage change in value of intra-African trade per annum (in US $)</t>
  </si>
  <si>
    <t>SRA Annual Report, 2021</t>
  </si>
  <si>
    <t>GOAL 9: Key Continental Financial and Monetary Institutions established and functional</t>
  </si>
  <si>
    <t>1. Financial and Monetary Institutions</t>
  </si>
  <si>
    <t>9.1.1 Fast Track realization of the Continental Free Trade Area</t>
  </si>
  <si>
    <t>a) Existence of an African Continental Free Trade Area (AfCFTA) that is ratified by all AU MSs</t>
  </si>
  <si>
    <t>b) Level to which your country has domesticated the AfCFTA</t>
  </si>
  <si>
    <t>9.2. AU Monetary Union established by 2023</t>
  </si>
  <si>
    <t>Extent to which your country has ratified the protocol on the establishment of the AU Monetary Union</t>
  </si>
  <si>
    <t>GOAL 10: World Class Infrastructure criss-crosses Africa</t>
  </si>
  <si>
    <t>1. Communications and Infrastructure Connectivity</t>
  </si>
  <si>
    <t>10.1.1 At least national readiness for implementation of the trans African Highway Missing link is achieved</t>
  </si>
  <si>
    <t>% of the progress made on the implementation of Trans-African Highway Missing link</t>
  </si>
  <si>
    <t>MoPWT</t>
  </si>
  <si>
    <t>10.1.2 At least national readiness for in country connectivity to the African High Speed Rail Network is achieved by 2019</t>
  </si>
  <si>
    <t xml:space="preserve">%  of the progress made on the implementation the African High Speed Rail Network </t>
  </si>
  <si>
    <t xml:space="preserve">10.1.3 Skies fully opened to African airlines </t>
  </si>
  <si>
    <t>a) Has your Government signed the Solemn Commitment to join the SAATM and implement all its measures?</t>
  </si>
  <si>
    <t>b) Has your Government signed the Memorandum of implementation for the operationalization of SAATM?</t>
  </si>
  <si>
    <t xml:space="preserve">10.1.4 Increase electricity generation and distribution by at least 50% by 2020  </t>
  </si>
  <si>
    <t>No. of Mega Watts added to the national grid in the last two years</t>
  </si>
  <si>
    <t>10.1.5 Double ICT penetration and contribution to GDP</t>
  </si>
  <si>
    <t xml:space="preserve"> Proportion of population using mobile phones</t>
  </si>
  <si>
    <t>5.b.1 Proportion of individuals who own a mobile telephone, by sex</t>
  </si>
  <si>
    <t>ESCCOM, ICT Sector Report, 2022</t>
  </si>
  <si>
    <t>% of ICT contribution to GDP</t>
  </si>
  <si>
    <t>MICT Annual Performance Report, 2022</t>
  </si>
  <si>
    <t>ASPIRATION 3: An Africa of Good Governance, Democracy, Respect for Human Rights, Justice and the Rule of Law</t>
  </si>
  <si>
    <t>GOAL 11:  Democratic values, practices, universal principles of human rights, justice and the rule of law entrenched</t>
  </si>
  <si>
    <t>1. Democratic Values and Practices are the Norm</t>
  </si>
  <si>
    <t>11.1.1 At least 70% of the people believe that they are empowered and are holding their leaders accountable</t>
  </si>
  <si>
    <t>% of people who believe that there are effective mechanisms and oversight institutions to hold their leaders accountable</t>
  </si>
  <si>
    <t>16.7.2 Proportion of population who believe decision-making is inclusive and responsive, by sex, age, disability and population group</t>
  </si>
  <si>
    <t>Afroborometer Report, 2021</t>
  </si>
  <si>
    <t>11.1.2 At least 70% of  the people perceive that the press / information is free and freedom of expression  pertains</t>
  </si>
  <si>
    <t xml:space="preserve">% of people who perceive that there is freedom of the press. </t>
  </si>
  <si>
    <t>16.10.1 Number of verified cases of killing, kidnapping, enforced disappearance, arbitrary detention and torture of journalists, associated media personnel, trade unionists and human rights advocates in the previous 12 months</t>
  </si>
  <si>
    <t>11.1.3 At least 70% of the public perceive elections are free, fair and transparent</t>
  </si>
  <si>
    <t xml:space="preserve">% of people who believe that the elections are free, fair and transparent.                     </t>
  </si>
  <si>
    <t>Afroborometer Report, 2021, 2013</t>
  </si>
  <si>
    <t>11.1.4 African Charter on Democracy is signed, ratified and domesticated by 2020</t>
  </si>
  <si>
    <t>Extent to which the the African Charter on Democracy has been domesticated</t>
  </si>
  <si>
    <t>Eswatini Periodic Report on The African Charter on People's, 2019</t>
  </si>
  <si>
    <t>Signed African Charter on Democracy</t>
  </si>
  <si>
    <t>Eswatini Periodic Report on The African Charter on People's Rights, 2019</t>
  </si>
  <si>
    <t>Ratified African Charter on Democracy</t>
  </si>
  <si>
    <t xml:space="preserve">Domesticated the African Charter on democracy </t>
  </si>
  <si>
    <t>GOAL 12: Capable institutions and transformed leadership in place at all levels</t>
  </si>
  <si>
    <t>1. Institutions and Leadership</t>
  </si>
  <si>
    <t>12.1.1 At least 70% of the public acknowledge  the public service to be professional, efficient, responsive, accountable, impartial  and corruption free</t>
  </si>
  <si>
    <t>Proportion of persons who had at least one contact with  a public official and who paid a bribe to a public official or were asked for a bribe by these public officials during the previous twelve months</t>
  </si>
  <si>
    <t xml:space="preserve">
16.5.1 Proportion of persons who had at least one contact with a public official and who paid a bribe to a public official, or were asked for a bribe by those public officials, during the previous 12 months</t>
  </si>
  <si>
    <t>ASPIRATION 4: A Peaceful and Secure Africa</t>
  </si>
  <si>
    <t>GOAL 13: Peace, Security and Stability are preserved</t>
  </si>
  <si>
    <t>Maintenance and Restoration of Peace and Security</t>
  </si>
  <si>
    <t xml:space="preserve">13.1.1 Level of conflict emanating from ethnicity, all forms of exclusion, religious and political differences is at most 50% of 2013 levels. </t>
  </si>
  <si>
    <t xml:space="preserve">Conflict related deaths per 100,000 population </t>
  </si>
  <si>
    <t>16.1.2 Conflict-related deaths per 100,000 population, by sex, age and cause</t>
  </si>
  <si>
    <t>REPS Report, 2022/23</t>
  </si>
  <si>
    <r>
      <rPr>
        <rFont val="Arial"/>
        <b val="true"/>
        <i val="false"/>
        <strike val="false"/>
        <color rgb="FF000000"/>
        <sz val="9"/>
        <u val="none"/>
      </rPr>
      <t xml:space="preserve">GOAL 14:  A Stable and Peaceful Africa</t>
    </r>
    <r>
      <rPr>
        <rFont val="Arial"/>
        <b val="false"/>
        <i val="false"/>
        <strike val="false"/>
        <color rgb="FF000000"/>
        <sz val="9"/>
        <u val="none"/>
      </rPr>
      <t xml:space="preserve"> </t>
    </r>
  </si>
  <si>
    <t xml:space="preserve">1. Institutional Structure for AU Instruments on Peace and Security </t>
  </si>
  <si>
    <t>14.1.1 Silence All Guns by 2020</t>
  </si>
  <si>
    <t xml:space="preserve">Number of armed conflicts </t>
  </si>
  <si>
    <t>GOAL 15: A Fully Functional and Operational African Peace and Security Architecture</t>
  </si>
  <si>
    <t>1. Operationalization of APSA Pillars</t>
  </si>
  <si>
    <t>15.1.1 National Peace Council is established by 2016</t>
  </si>
  <si>
    <t>Existence of a national peace council.</t>
  </si>
  <si>
    <t xml:space="preserve">Number of national dialogues held </t>
  </si>
  <si>
    <t>MoHA Annual Report, 2022</t>
  </si>
  <si>
    <t>ASPIRATION 5: Africa With a Strong Cultural Identity, Common Heritage, Values and Ethics</t>
  </si>
  <si>
    <t>GOAL 16: African Cultural Renaissance is pre-eminent</t>
  </si>
  <si>
    <t>1. Values and  Ideals of Pan Africanism</t>
  </si>
  <si>
    <t>16.1.1 At least 60% of content in educational curriculum is on indigenous African culture, values and language targeting primary and secondary schools</t>
  </si>
  <si>
    <t>Proportion of the content of the curricula on indigenous African culture, values and language in primary and secondary schools</t>
  </si>
  <si>
    <t>National curriculmn Annual Report, 2020</t>
  </si>
  <si>
    <t>ASPIRATION 6: An Africa Whose Development is People Driven, Relying on the Potential of the African People</t>
  </si>
  <si>
    <t>GOAL 17:  Full Gender Equality in All Spheres of Life</t>
  </si>
  <si>
    <t>1. Women Empowerment</t>
  </si>
  <si>
    <t>17.1.1 Equal economic rights for women, including the rights to own and inherit property, sign a contract, save, register and manage a business and own and operate a bank account by 2025</t>
  </si>
  <si>
    <t xml:space="preserve">Proportion of women in total agricultural population with ownership or secure rights over agricultural land             </t>
  </si>
  <si>
    <t>5.a.1 (a) Proportion of total agricultural population with ownership or secure rights over agricultural land by sex and (b) share of women among owners or rights-bearers of agricultural land, by type of tenure</t>
  </si>
  <si>
    <t>17.1.2 At least 30% of all elected officials at local, regional and national levels are Women as well as in judicial institutions</t>
  </si>
  <si>
    <t>Proportion of seats held by women in national parliaments, regional and local bodies</t>
  </si>
  <si>
    <t xml:space="preserve">5.5.1 Proportion of seats held by women in: (a) National Parliements  and (b) Local Governments </t>
  </si>
  <si>
    <t>National Elections Report, 2018 and DPMO Annual Report, 2020.</t>
  </si>
  <si>
    <t>2. Violence &amp; Discrimination
against Women and Girls</t>
  </si>
  <si>
    <t>17.2.1 Reduce 2013 levels of violence against women and Girls by at least 20%</t>
  </si>
  <si>
    <t>Proportion of women and girls subjected to sexual and physical violence</t>
  </si>
  <si>
    <t>5.2.1 Proportion of ever-partnered women and girls aged 15 years and older subjected to physical, sexual or psychological violence by a current or former intimate partner in the previous 12 months, by form of violence and by age</t>
  </si>
  <si>
    <t>DMPO Annual Report, 2022.</t>
  </si>
  <si>
    <t>17.2.2 Reduce by 50% all harmful social norms and customary practices against women and girls and those that promote violence and discrimination against women and girls</t>
  </si>
  <si>
    <t>Proportion of girls and women aged 15-49 years who have undergone female genital mutilation/ cutting by age</t>
  </si>
  <si>
    <t>5.3.2 Proportion of girls and women aged 15–49 years who have undergone female genital mutilation/cutting, by age</t>
  </si>
  <si>
    <t>17.2.3 Eliminate all barriers to quality education, health and social services for Women and Girls by 2020</t>
  </si>
  <si>
    <t>Proportion of children whose births are registered in the first year</t>
  </si>
  <si>
    <t>16.9.1 Proportion of children under 5 years of age whose births have been registered with a civil authority, by age</t>
  </si>
  <si>
    <t>Annual Civil Registration and Vital Stats Report, 2021</t>
  </si>
  <si>
    <t>GOAL 18: Engaged and Empowered Youth and Children</t>
  </si>
  <si>
    <t>1. Youth Empowerment and Children’s Rights</t>
  </si>
  <si>
    <t xml:space="preserve">18.1.1 Reduce 2013 rate of youth unemployment by at least 25%; in particular female youth </t>
  </si>
  <si>
    <t>Unemployment rate of youth</t>
  </si>
  <si>
    <t>8.5.2 Unemployment rate, by sex, age and persons with disabilities</t>
  </si>
  <si>
    <t>18.1.2 End all forms of violence, child labour exploitation, child marriage and human trafficking</t>
  </si>
  <si>
    <t>% of children engaged in  child labour</t>
  </si>
  <si>
    <t>8.7.1 Proportion and number of children aged 5–17 years engaged in child labour, by sex and age</t>
  </si>
  <si>
    <t>% of children engaged in child marriage</t>
  </si>
  <si>
    <t>5.3.1 Proportion of women aged 20–24 years who were married or in a union before age 15 and before age 18</t>
  </si>
  <si>
    <t xml:space="preserve">%  of children who are victims of human trafficking </t>
  </si>
  <si>
    <t>16.2.2 Number of victims of human trafficking per 100,000 population, by sex, age and form of exploitation</t>
  </si>
  <si>
    <t>18.1.3 Full implementation of the provision of African Charter on the Rights of the Youth is attained</t>
  </si>
  <si>
    <t xml:space="preserve"> Level of implementation of the provisions of the African Charter on the Rights of the Youth by Member States</t>
  </si>
  <si>
    <t>ASPIRATION 7: Africa as a Strong and Influential Global Partner</t>
  </si>
  <si>
    <t>GOAL 19: Africa as a major partner in global affairs and peaceful co-existence</t>
  </si>
  <si>
    <t>1. Africa’s place in global affairs</t>
  </si>
  <si>
    <t>19.1.1 National statistical system fully functional</t>
  </si>
  <si>
    <t>Availability of statistical legislation that complies with fundamental principles of official statistics</t>
  </si>
  <si>
    <t>17.18.2 Number of countries that have national statistical legislation that complies with the Fundamental Principles of Official Statistics</t>
  </si>
  <si>
    <t>Proportion of national budget for the implementation of functional statistical system</t>
  </si>
  <si>
    <t>17.18.3 Number of countries with a national statistical plan that is fully funded and under implementation, by source of funding</t>
  </si>
  <si>
    <t>Government Estimate Book, 2021/22</t>
  </si>
  <si>
    <t>Existence of formal institutional arrangements for the coordination of the compilation of official statistics</t>
  </si>
  <si>
    <t>GOAL 20: Africa takes full responsibility for financing her development</t>
  </si>
  <si>
    <t>1. Capital Markets</t>
  </si>
  <si>
    <t xml:space="preserve">20.1.1 National capital market finances  at least 10% of development expenditure </t>
  </si>
  <si>
    <t xml:space="preserve">Proportion of public sector budget funded by national capital markets </t>
  </si>
  <si>
    <t xml:space="preserve">2. Fiscal system and Public Sector Revenues </t>
  </si>
  <si>
    <t>20.1.2 Tax and non-tax revenue of all levels of government should cover at least 75% of current and development expenditure</t>
  </si>
  <si>
    <t>Total tax revenue as a % of GDP</t>
  </si>
  <si>
    <t>17.1.2 Proportion of domestic budget funded by domestic taxes</t>
  </si>
  <si>
    <t>3. Development Assistance</t>
  </si>
  <si>
    <t>20.1.3 Proportion of aid in the national budget is at most  25% of 2013 level</t>
  </si>
  <si>
    <t>Total ODA as a percentage of the national budget</t>
  </si>
  <si>
    <t>17.3.1 Foreign direct investment (FDI), official development assistance and South-South cooperation as a proportion of total domestic budget</t>
  </si>
  <si>
    <t>Resources raised through innovative financing mechanisms as a % of national budget</t>
  </si>
  <si>
    <t>Total</t>
  </si>
</sst>
</file>

<file path=xl/styles.xml><?xml version="1.0" encoding="utf-8"?>
<styleSheet xmlns="http://schemas.openxmlformats.org/spreadsheetml/2006/main" xml:space="preserve">
  <numFmts count="6">
    <numFmt numFmtId="164" formatCode="[$-1C09]dd\ mmmm\ yyyy;@"/>
    <numFmt numFmtId="165" formatCode="0.0"/>
    <numFmt numFmtId="166" formatCode="0.0%"/>
    <numFmt numFmtId="167" formatCode="#,##0.0"/>
    <numFmt numFmtId="168" formatCode="0.000"/>
    <numFmt numFmtId="169" formatCode="0.0000"/>
  </numFmts>
  <fonts count="3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44749F"/>
      <name val="Calibri"/>
    </font>
    <font>
      <b val="0"/>
      <i val="0"/>
      <strike val="0"/>
      <u val="none"/>
      <sz val="11"/>
      <color rgb="FFF2F2F2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206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6"/>
      <color rgb="FFFF0000"/>
      <name val="Calibri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10"/>
      <color rgb="FF000000"/>
      <name val="Arial Narrow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singl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8"/>
      <color rgb="FF1F3864"/>
      <name val="Arial"/>
    </font>
    <font>
      <b val="0"/>
      <i val="0"/>
      <strike val="0"/>
      <u val="none"/>
      <sz val="8"/>
      <color rgb="FF1F3864"/>
      <name val="Arial"/>
    </font>
    <font>
      <b val="0"/>
      <i val="0"/>
      <strike val="0"/>
      <u val="none"/>
      <sz val="14"/>
      <color rgb="FFFF0000"/>
      <name val="Calibri"/>
    </font>
    <font>
      <b val="1"/>
      <i val="0"/>
      <strike val="0"/>
      <u val="single"/>
      <sz val="9"/>
      <color rgb="FF000000"/>
      <name val="Calibri"/>
    </font>
    <font>
      <b val="0"/>
      <i val="0"/>
      <strike val="0"/>
      <u val="single"/>
      <sz val="8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single"/>
      <sz val="11"/>
      <color rgb="FF0563C1"/>
      <name val="Calibri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20"/>
      <color rgb="FFFFFFFF"/>
      <name val="Arial Black"/>
    </font>
    <font>
      <b val="1"/>
      <i val="0"/>
      <strike val="0"/>
      <u val="none"/>
      <sz val="8"/>
      <color rgb="FF003399"/>
      <name val="Arial"/>
    </font>
    <font>
      <b val="1"/>
      <i val="0"/>
      <strike val="0"/>
      <u val="none"/>
      <sz val="9"/>
      <color rgb="FF003399"/>
      <name val="Arial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0"/>
      <color rgb="FF000000"/>
      <name val="Arial Narrow"/>
    </font>
    <font>
      <b val="0"/>
      <i val="0"/>
      <strike val="0"/>
      <u val="none"/>
      <sz val="8"/>
      <color rgb="FFD4D4D4"/>
      <name val="Consolas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9"/>
      <color rgb="FF1F3864"/>
      <name val="Arial"/>
    </font>
  </fonts>
  <fills count="2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2060"/>
        <bgColor rgb="FFFFFFFF"/>
      </patternFill>
    </fill>
    <fill>
      <patternFill patternType="solid">
        <fgColor rgb="FF33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F9933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DADADA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BDD6EE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EEAF6"/>
        <bgColor rgb="FFFFFFFF"/>
      </patternFill>
    </fill>
    <fill>
      <patternFill patternType="solid">
        <fgColor rgb="FFC5DEB5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FFE598"/>
        <bgColor rgb="FFFFFFFF"/>
      </patternFill>
    </fill>
    <fill>
      <patternFill patternType="solid">
        <fgColor rgb="FFF7CAAC"/>
        <bgColor rgb="FFFFFFFF"/>
      </patternFill>
    </fill>
    <fill>
      <patternFill patternType="solid">
        <fgColor rgb="FFFFD965"/>
        <bgColor rgb="FFFFFFFF"/>
      </patternFill>
    </fill>
    <fill>
      <patternFill patternType="solid">
        <fgColor rgb="FFF4B083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CFCFCF"/>
        <bgColor rgb="FFFFFFFF"/>
      </patternFill>
    </fill>
    <fill>
      <patternFill patternType="solid">
        <fgColor rgb="FF66FFCC"/>
        <bgColor rgb="FFFFFFFF"/>
      </patternFill>
    </fill>
    <fill>
      <patternFill patternType="solid">
        <fgColor rgb="FFE7E6E6"/>
        <bgColor rgb="FFFFFFFF"/>
      </patternFill>
    </fill>
    <fill>
      <patternFill patternType="solid">
        <fgColor rgb="FFF2F2F2"/>
        <bgColor rgb="FFE7E6E6"/>
      </patternFill>
    </fill>
    <fill>
      <patternFill patternType="solid">
        <fgColor rgb="FFBDD6EE"/>
        <bgColor rgb="FFBDD7EE"/>
      </patternFill>
    </fill>
  </fills>
  <borders count="7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78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false"/>
    </xf>
    <xf xfId="0" fontId="1" numFmtId="0" fillId="3" borderId="1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" numFmtId="0" fillId="3" borderId="2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" numFmtId="0" fillId="3" borderId="3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false"/>
    </xf>
    <xf xfId="0" fontId="2" numFmtId="0" fillId="3" borderId="4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3" numFmtId="0" fillId="4" borderId="5" applyFont="1" applyNumberFormat="0" applyFill="1" applyBorder="1" applyAlignment="1">
      <alignment horizontal="center" vertical="center" textRotation="0" wrapText="false" shrinkToFit="false"/>
    </xf>
    <xf xfId="0" fontId="3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4" numFmtId="9" fillId="6" borderId="5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4" numFmtId="1" fillId="6" borderId="5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4" numFmtId="9" fillId="6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5" numFmtId="164" fillId="5" borderId="6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6" numFmtId="165" fillId="3" borderId="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2" numFmtId="0" fillId="3" borderId="6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2" numFmtId="2" fillId="3" borderId="6" applyFont="1" applyNumberFormat="1" applyFill="1" applyBorder="1" applyAlignment="0" applyProtection="true">
      <alignment horizontal="general" vertical="bottom" textRotation="0" wrapText="false" shrinkToFit="false"/>
      <protection locked="false"/>
    </xf>
    <xf xfId="0" fontId="2" numFmtId="0" fillId="3" borderId="8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7" borderId="9" applyFont="0" applyNumberFormat="0" applyFill="1" applyBorder="1" applyAlignment="1" applyProtection="true">
      <alignment horizontal="general" vertical="center" textRotation="0" wrapText="true" shrinkToFit="false"/>
      <protection locked="false"/>
    </xf>
    <xf xfId="0" fontId="0" numFmtId="2" fillId="7" borderId="9" applyFont="0" applyNumberFormat="1" applyFill="1" applyBorder="1" applyAlignment="1" applyProtection="true">
      <alignment horizontal="general" vertical="center" textRotation="0" wrapText="true" shrinkToFit="false"/>
      <protection locked="false"/>
    </xf>
    <xf xfId="0" fontId="0" numFmtId="0" fillId="7" borderId="9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7" borderId="10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6" borderId="11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7" numFmtId="0" fillId="6" borderId="12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7" numFmtId="0" fillId="6" borderId="13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7" numFmtId="0" fillId="6" borderId="14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7" numFmtId="0" fillId="6" borderId="14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7" numFmtId="2" fillId="6" borderId="4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7" numFmtId="0" fillId="6" borderId="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8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8" numFmtId="0" fillId="8" borderId="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8" borderId="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8" borderId="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8" borderId="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9" fillId="6" borderId="1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2" fillId="6" borderId="1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9" fillId="6" borderId="1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5" borderId="5" applyFont="0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0" fillId="8" borderId="0" applyFont="0" applyNumberFormat="0" applyFill="1" applyBorder="0" applyAlignment="0" applyProtection="true">
      <alignment horizontal="general" vertical="bottom" textRotation="0" wrapText="false" shrinkToFit="false"/>
      <protection locked="false"/>
    </xf>
    <xf xfId="0" fontId="0" numFmtId="0" fillId="6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8" numFmtId="0" fillId="6" borderId="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6" borderId="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6" borderId="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6" borderId="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6" borderId="1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6" borderId="0" applyFont="0" applyNumberFormat="0" applyFill="1" applyBorder="0" applyAlignment="0" applyProtection="true">
      <alignment horizontal="general" vertical="bottom" textRotation="0" wrapText="false" shrinkToFit="false"/>
      <protection locked="fals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1" numFmtId="165" fillId="2" borderId="1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1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1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9" fillId="6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9" borderId="2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2" numFmtId="0" fillId="5" borderId="21" applyFont="1" applyNumberFormat="0" applyFill="1" applyBorder="1" applyAlignment="1" applyProtection="true">
      <alignment horizontal="left" vertical="top" textRotation="0" wrapText="true" shrinkToFit="false"/>
      <protection locked="false"/>
    </xf>
    <xf xfId="0" fontId="12" numFmtId="0" fillId="2" borderId="19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11" numFmtId="9" fillId="2" borderId="2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0" fillId="2" borderId="2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0" fillId="2" borderId="2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2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9" borderId="26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5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3" numFmtId="2" fillId="2" borderId="27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1" numFmtId="165" fillId="2" borderId="2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9" fillId="6" borderId="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0" borderId="2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2" numFmtId="0" fillId="8" borderId="29" applyFont="1" applyNumberFormat="0" applyFill="1" applyBorder="1" applyAlignment="1" applyProtection="true">
      <alignment horizontal="left" vertical="top" textRotation="0" wrapText="true" shrinkToFit="false"/>
      <protection locked="false"/>
    </xf>
    <xf xfId="0" fontId="11" numFmtId="0" fillId="8" borderId="30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0" fillId="8" borderId="31" applyFont="1" applyNumberFormat="0" applyFill="1" applyBorder="1" applyAlignment="1">
      <alignment horizontal="general" vertical="center" textRotation="0" wrapText="true" shrinkToFit="false"/>
    </xf>
    <xf xfId="0" fontId="11" numFmtId="9" fillId="2" borderId="3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3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2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0" borderId="3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1" numFmtId="9" fillId="2" borderId="3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2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2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0" borderId="3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36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9" fillId="2" borderId="1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1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1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1" borderId="2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4" numFmtId="0" fillId="2" borderId="2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0" numFmtId="0" fillId="2" borderId="19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0" fillId="11" borderId="3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4" numFmtId="0" fillId="2" borderId="31" applyFont="1" applyNumberFormat="0" applyFill="0" applyBorder="1" applyAlignment="1" applyProtection="true">
      <alignment horizontal="left" vertical="top" textRotation="0" wrapText="true" shrinkToFit="false"/>
      <protection locked="false"/>
    </xf>
    <xf xfId="0" fontId="0" numFmtId="0" fillId="2" borderId="29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9" fillId="2" borderId="3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3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1" borderId="38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2" borderId="3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3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39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40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4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1" borderId="3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5" numFmtId="0" fillId="12" borderId="0" applyFont="1" applyNumberFormat="0" applyFill="1" applyBorder="0" applyAlignment="1" applyProtection="true">
      <alignment horizontal="general" vertical="center" textRotation="0" wrapText="true" shrinkToFit="false"/>
      <protection hidden="true"/>
    </xf>
    <xf xfId="0" fontId="15" numFmtId="0" fillId="12" borderId="4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6" borderId="0" applyFont="1" applyNumberFormat="0" applyFill="1" applyBorder="0" applyAlignment="1" applyProtection="true">
      <alignment horizontal="general" vertical="center" textRotation="0" wrapText="true" shrinkToFit="false"/>
      <protection hidden="true"/>
    </xf>
    <xf xfId="0" fontId="15" numFmtId="0" fillId="6" borderId="42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9" fillId="2" borderId="1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3" borderId="2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6" numFmtId="0" fillId="2" borderId="2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2" numFmtId="0" fillId="2" borderId="19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0" fillId="13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29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9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2" numFmtId="0" fillId="2" borderId="29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0" fillId="13" borderId="4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25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5" numFmtId="0" fillId="12" borderId="5" applyFont="1" applyNumberFormat="0" applyFill="1" applyBorder="1" applyAlignment="1">
      <alignment horizontal="general" vertical="center" textRotation="0" wrapText="true" shrinkToFit="false"/>
    </xf>
    <xf xfId="0" fontId="15" numFmtId="0" fillId="12" borderId="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42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0" fillId="9" borderId="2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6" numFmtId="0" fillId="2" borderId="3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165" fillId="2" borderId="3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1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3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9" borderId="3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2" borderId="3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1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3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39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40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4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2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9" borderId="3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1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1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4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9" fillId="6" borderId="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5" numFmtId="0" fillId="12" borderId="7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9" fillId="5" borderId="46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5" borderId="4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5" borderId="4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1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1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2" fillId="6" borderId="1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4" borderId="4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7" numFmtId="0" fillId="2" borderId="10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166" fillId="2" borderId="1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6" fillId="2" borderId="1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4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0" fillId="5" borderId="4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2" borderId="10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9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4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4" borderId="4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10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8" numFmtId="0" fillId="12" borderId="5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8" numFmtId="0" fillId="12" borderId="0" applyFont="1" applyNumberFormat="0" applyFill="1" applyBorder="0" applyAlignment="1" applyProtection="true">
      <alignment horizontal="general" vertical="center" textRotation="0" wrapText="true" shrinkToFit="false"/>
      <protection hidden="true"/>
    </xf>
    <xf xfId="0" fontId="19" numFmtId="0" fillId="12" borderId="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8" numFmtId="0" fillId="12" borderId="1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12" borderId="10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4" fillId="2" borderId="2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4" fillId="2" borderId="1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4" fillId="2" borderId="1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2" numFmtId="0" fillId="5" borderId="21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4" fillId="2" borderId="3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4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4" fillId="2" borderId="3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4" fillId="2" borderId="5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4" fillId="2" borderId="4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8" numFmtId="0" fillId="12" borderId="5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8" numFmtId="0" fillId="12" borderId="6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9" numFmtId="0" fillId="12" borderId="7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8" numFmtId="0" fillId="12" borderId="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12" borderId="3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166" fillId="2" borderId="5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6" fillId="2" borderId="5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6" fillId="2" borderId="5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5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3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5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5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2" numFmtId="0" fillId="2" borderId="35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5" numFmtId="0" fillId="12" borderId="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4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9" fillId="2" borderId="1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6" borderId="2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9" fillId="2" borderId="3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6" borderId="3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31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9" fillId="2" borderId="39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6" borderId="3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50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0" applyFont="0" applyNumberFormat="0" applyFill="1" applyBorder="0" applyAlignment="1" applyProtection="true">
      <alignment horizontal="general" vertical="center" textRotation="0" wrapText="true" shrinkToFit="false"/>
      <protection hidden="true"/>
    </xf>
    <xf xfId="0" fontId="0" numFmtId="0" fillId="8" borderId="42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8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8" applyFont="0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8" numFmtId="0" fillId="12" borderId="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12" borderId="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3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0" fillId="2" borderId="1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0" fillId="2" borderId="1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0" fillId="2" borderId="1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9" fillId="17" borderId="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19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167" fillId="2" borderId="3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9" borderId="0" applyFont="1" applyNumberFormat="0" applyFill="1" applyBorder="0" applyAlignment="1" applyProtection="true">
      <alignment horizontal="general" vertical="center" textRotation="0" wrapText="true" shrinkToFit="false"/>
      <protection hidden="true"/>
    </xf>
    <xf xfId="0" fontId="12" numFmtId="0" fillId="2" borderId="3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9" fillId="5" borderId="4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9" borderId="4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5" borderId="25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0" numFmtId="0" fillId="12" borderId="0" applyFont="0" applyNumberFormat="0" applyFill="1" applyBorder="0" applyAlignment="1" applyProtection="true">
      <alignment horizontal="general" vertical="center" textRotation="0" wrapText="true" shrinkToFit="false"/>
      <protection hidden="true"/>
    </xf>
    <xf xfId="0" fontId="0" numFmtId="0" fillId="12" borderId="42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9" fillId="6" borderId="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2" fillId="6" borderId="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12" borderId="10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12" borderId="7" applyFont="0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1" numFmtId="2" fillId="2" borderId="1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5" borderId="17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5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2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5" numFmtId="0" fillId="11" borderId="2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9" fillId="5" borderId="2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2" borderId="5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4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5" numFmtId="0" fillId="11" borderId="3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2" fillId="2" borderId="39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5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44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5" numFmtId="0" fillId="11" borderId="3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12" borderId="5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12" borderId="6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9" fillId="6" borderId="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2" fillId="6" borderId="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5" numFmtId="0" fillId="12" borderId="8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18" borderId="2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5" borderId="21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0" numFmtId="0" fillId="5" borderId="19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0" fillId="18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5" borderId="3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5" borderId="2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4" fillId="5" borderId="3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2" fillId="5" borderId="2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8" borderId="4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35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0" numFmtId="0" fillId="2" borderId="25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7" numFmtId="0" fillId="8" borderId="0" applyFont="1" applyNumberFormat="0" applyFill="1" applyBorder="0" applyAlignment="1" applyProtection="true">
      <alignment horizontal="general" vertical="center" textRotation="0" wrapText="true" shrinkToFit="false"/>
      <protection hidden="true"/>
    </xf>
    <xf xfId="0" fontId="7" numFmtId="0" fillId="8" borderId="8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7" numFmtId="0" fillId="8" borderId="8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5" numFmtId="0" fillId="12" borderId="1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5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9" fillId="5" borderId="1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3" borderId="2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" fillId="2" borderId="3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13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9" fillId="5" borderId="3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5" borderId="29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2" fillId="5" borderId="3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3" borderId="4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5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7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8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2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2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5" borderId="4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17" borderId="1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8" borderId="52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6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10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10" applyFont="0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5" numFmtId="0" fillId="12" borderId="1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15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2" fillId="5" borderId="46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5" borderId="4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48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0" fillId="8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12" numFmtId="0" fillId="5" borderId="10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2" fillId="5" borderId="2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18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9" numFmtId="2" fillId="6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9" borderId="1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8" applyFont="1" applyNumberFormat="0" applyFill="1" applyBorder="1" applyAlignment="1" applyProtection="true">
      <alignment horizontal="general" vertical="center" textRotation="0" wrapText="true" shrinkToFit="false"/>
      <protection locked="false"/>
    </xf>
    <xf xfId="0" fontId="11" numFmtId="2" fillId="2" borderId="2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5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3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0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2" fillId="2" borderId="5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5" borderId="40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5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6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0" borderId="0" applyFont="1" applyNumberFormat="0" applyFill="1" applyBorder="0" applyAlignment="1" applyProtection="true">
      <alignment horizontal="general" vertical="center" textRotation="0" wrapText="true" shrinkToFit="false"/>
      <protection hidden="true"/>
    </xf>
    <xf xfId="0" fontId="12" numFmtId="0" fillId="5" borderId="25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0" numFmtId="0" fillId="8" borderId="52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6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7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15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5" borderId="7" applyFont="0" applyNumberFormat="0" applyFill="1" applyBorder="1" applyAlignment="1" applyProtection="true">
      <alignment horizontal="general" vertical="top" textRotation="0" wrapText="true" shrinkToFit="false"/>
      <protection locked="false" hidden="true"/>
    </xf>
    <xf xfId="0" fontId="11" numFmtId="1" fillId="2" borderId="49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9" borderId="37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5" borderId="10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0" numFmtId="0" fillId="8" borderId="10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5" borderId="10" applyFont="0" applyNumberFormat="0" applyFill="1" applyBorder="1" applyAlignment="1" applyProtection="true">
      <alignment horizontal="general" vertical="top" textRotation="0" wrapText="true" shrinkToFit="false"/>
      <protection locked="false" hidden="true"/>
    </xf>
    <xf xfId="0" fontId="15" numFmtId="0" fillId="6" borderId="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6" borderId="3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2" fillId="2" borderId="1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2" fillId="2" borderId="1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5" borderId="1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8" borderId="2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6" numFmtId="0" fillId="2" borderId="18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2" fillId="2" borderId="39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2" borderId="40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2" fillId="5" borderId="1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8" borderId="4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6" numFmtId="0" fillId="2" borderId="24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2" fillId="5" borderId="6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8" fillId="2" borderId="5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8" fillId="5" borderId="5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62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2" borderId="19" applyFont="1" applyNumberFormat="0" applyFill="0" applyBorder="1" applyAlignment="1" applyProtection="true">
      <alignment horizontal="left" vertical="center" textRotation="0" wrapText="true" shrinkToFit="false"/>
      <protection locked="false"/>
    </xf>
    <xf xfId="0" fontId="11" numFmtId="2" fillId="2" borderId="5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168" fillId="5" borderId="3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8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2" numFmtId="0" fillId="5" borderId="31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1" numFmtId="168" fillId="5" borderId="3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2" fillId="5" borderId="4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41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2" numFmtId="0" fillId="5" borderId="35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5" numFmtId="0" fillId="12" borderId="5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6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0" applyFont="1" applyNumberFormat="0" applyFill="1" applyBorder="0" applyAlignment="1" applyProtection="true">
      <alignment horizontal="general" vertical="center" textRotation="0" wrapText="true" shrinkToFit="false"/>
      <protection locked="false" hidden="true"/>
    </xf>
    <xf xfId="0" fontId="11" numFmtId="9" fillId="5" borderId="5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1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1" numFmtId="0" fillId="2" borderId="2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9" fillId="5" borderId="32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1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1" numFmtId="0" fillId="2" borderId="3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0" fillId="21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2" fillId="5" borderId="5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5" borderId="4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1" borderId="4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1" numFmtId="0" fillId="2" borderId="35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0" numFmtId="0" fillId="8" borderId="59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8" borderId="9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12" borderId="10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0" fillId="16" borderId="3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19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169" fillId="5" borderId="2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2" fillId="5" borderId="3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6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16" borderId="6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2" numFmtId="0" fillId="2" borderId="25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8" numFmtId="0" fillId="6" borderId="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6" borderId="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5" numFmtId="0" fillId="6" borderId="7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6" borderId="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0" fillId="6" borderId="3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8" numFmtId="0" fillId="6" borderId="4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2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2" fillId="5" borderId="4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5" numFmtId="0" fillId="15" borderId="1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59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9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6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2" borderId="5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11" numFmtId="9" fillId="2" borderId="1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5" numFmtId="0" fillId="15" borderId="3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9" fillId="2" borderId="40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5" numFmtId="0" fillId="15" borderId="6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2" numFmtId="0" fillId="2" borderId="35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0" numFmtId="0" fillId="22" borderId="65" applyFont="0" applyNumberFormat="0" applyFill="1" applyBorder="1" applyAlignment="0">
      <alignment horizontal="general" vertical="bottom" textRotation="0" wrapText="false" shrinkToFit="false"/>
    </xf>
    <xf xfId="0" fontId="0" numFmtId="0" fillId="22" borderId="66" applyFont="0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0" fillId="22" borderId="67" applyFont="0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0" fillId="22" borderId="66" applyFont="0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0" fillId="22" borderId="68" applyFont="0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0" fillId="22" borderId="65" applyFont="0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0" fillId="22" borderId="7" applyFont="0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9" fillId="22" borderId="8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9" fillId="22" borderId="6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0" fillId="22" borderId="47" applyFont="0" applyNumberFormat="0" applyFill="1" applyBorder="1" applyAlignment="1" applyProtection="true">
      <alignment horizontal="general" vertical="bottom" textRotation="0" wrapText="true" shrinkToFit="false"/>
      <protection hidden="true"/>
    </xf>
    <xf xfId="0" fontId="0" numFmtId="0" fillId="22" borderId="9" applyFont="0" applyNumberFormat="0" applyFill="1" applyBorder="1" applyAlignment="1" applyProtection="true">
      <alignment horizontal="general" vertical="bottom" textRotation="0" wrapText="true" shrinkToFit="false"/>
      <protection hidden="true"/>
    </xf>
    <xf xfId="0" fontId="0" numFmtId="0" fillId="22" borderId="8" applyFont="0" applyNumberFormat="0" applyFill="1" applyBorder="1" applyAlignment="1" applyProtection="true">
      <alignment horizontal="general" vertical="bottom" textRotation="0" wrapText="tru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4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7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2" numFmtId="0" fillId="2" borderId="10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16" numFmtId="0" fillId="2" borderId="1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0" numFmtId="0" fillId="5" borderId="25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12" numFmtId="0" fillId="5" borderId="1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12" numFmtId="0" fillId="2" borderId="52" applyFont="1" applyNumberFormat="0" applyFill="0" applyBorder="1" applyAlignment="1" applyProtection="true">
      <alignment horizontal="general" vertical="top" textRotation="0" wrapText="true" shrinkToFit="false"/>
      <protection locked="false"/>
    </xf>
    <xf xfId="0" fontId="0" numFmtId="0" fillId="5" borderId="29" applyFont="0" applyNumberFormat="0" applyFill="1" applyBorder="1" applyAlignment="1" applyProtection="true">
      <alignment horizontal="general" vertical="bottom" textRotation="0" wrapText="true" shrinkToFit="false"/>
      <protection locked="false"/>
    </xf>
    <xf xfId="0" fontId="0" numFmtId="0" fillId="5" borderId="19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25" numFmtId="0" fillId="5" borderId="50" applyFont="1" applyNumberFormat="0" applyFill="1" applyBorder="1" applyAlignment="1" applyProtection="true">
      <alignment horizontal="general" vertical="center" textRotation="0" wrapText="true" shrinkToFit="false"/>
      <protection locked="false" hidden="true"/>
    </xf>
    <xf xfId="0" fontId="11" numFmtId="0" fillId="5" borderId="15" applyFont="1" applyNumberFormat="0" applyFill="1" applyBorder="1" applyAlignment="1" applyProtection="true">
      <alignment horizontal="general" vertical="top" textRotation="0" wrapText="true" shrinkToFit="false"/>
      <protection locked="false"/>
    </xf>
    <xf xfId="0" fontId="0" numFmtId="0" fillId="5" borderId="29" applyFont="0" applyNumberFormat="0" applyFill="1" applyBorder="1" applyAlignment="1" applyProtection="true">
      <alignment horizontal="general" vertical="top" textRotation="0" wrapText="true" shrinkToFit="false"/>
      <protection locked="false"/>
    </xf>
    <xf xfId="0" fontId="1" numFmtId="0" fillId="3" borderId="50" applyFont="1" applyNumberFormat="0" applyFill="1" applyBorder="1" applyAlignment="0" applyProtection="true">
      <alignment horizontal="general" vertical="bottom" textRotation="0" wrapText="false" shrinkToFit="false"/>
      <protection hidden="tru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26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1" numFmtId="0" fillId="3" borderId="4" applyFont="1" applyNumberFormat="0" applyFill="1" applyBorder="1" applyAlignment="0" applyProtection="true">
      <alignment horizontal="general" vertical="bottom" textRotation="0" wrapText="false" shrinkToFit="false"/>
      <protection hidden="true"/>
    </xf>
    <xf xfId="0" fontId="2" numFmtId="0" fillId="3" borderId="50" applyFont="1" applyNumberFormat="0" applyFill="1" applyBorder="1" applyAlignment="0" applyProtection="true">
      <alignment horizontal="general" vertical="bottom" textRotation="0" wrapText="false" shrinkToFit="false"/>
      <protection hidden="true"/>
    </xf>
    <xf xfId="0" fontId="2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2" numFmtId="0" fillId="3" borderId="4" applyFont="1" applyNumberFormat="0" applyFill="1" applyBorder="1" applyAlignment="0" applyProtection="true">
      <alignment horizontal="general" vertical="bottom" textRotation="0" wrapText="false" shrinkToFit="false"/>
      <protection hidden="true"/>
    </xf>
    <xf xfId="0" fontId="5" numFmtId="0" fillId="3" borderId="52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5" numFmtId="0" fillId="3" borderId="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1" numFmtId="0" fillId="2" borderId="26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8" borderId="2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20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9" numFmtId="165" fillId="14" borderId="3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8" numFmtId="165" fillId="14" borderId="3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3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2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8" borderId="2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8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10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0" borderId="62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0" borderId="4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0" borderId="26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8" borderId="27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3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3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2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2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8" borderId="3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8" numFmtId="165" fillId="14" borderId="3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8" numFmtId="165" fillId="14" borderId="3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1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2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6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62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56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57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6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27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2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3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5" borderId="3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3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2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4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44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27" numFmtId="165" fillId="14" borderId="3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5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5" borderId="5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5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1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5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7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2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2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70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7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9" numFmtId="165" fillId="14" borderId="6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26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2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2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7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8" borderId="2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8" borderId="5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165" fillId="14" borderId="3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1" numFmtId="0" fillId="5" borderId="3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3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23" borderId="2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23" borderId="3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23" borderId="3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8" numFmtId="0" fillId="12" borderId="7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5" borderId="1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5" borderId="2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23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23" borderId="2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2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43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4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14" borderId="2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165" fillId="14" borderId="3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3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10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9" numFmtId="165" fillId="14" borderId="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23" borderId="1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1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23" borderId="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22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22" borderId="2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2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165" fillId="23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8" numFmtId="0" fillId="12" borderId="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165" fillId="23" borderId="2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23" borderId="3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8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5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2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63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5" borderId="4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5" borderId="4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165" fillId="14" borderId="6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4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5" fillId="14" borderId="44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7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58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9" numFmtId="165" fillId="14" borderId="2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16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37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3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7" numFmtId="1" fillId="22" borderId="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7" numFmtId="0" fillId="22" borderId="59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2" borderId="6" applyFont="0" applyNumberFormat="0" applyFill="1" applyBorder="1" applyAlignment="0" applyProtection="true">
      <alignment horizontal="general" vertical="bottom" textRotation="0" wrapText="false" shrinkToFit="false"/>
      <protection hidden="true"/>
    </xf>
    <xf xfId="0" fontId="2" numFmtId="2" fillId="3" borderId="6" applyFont="1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0" fillId="3" borderId="6" applyFont="0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0" fillId="7" borderId="9" applyFont="0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2" fillId="7" borderId="9" applyFont="0" applyNumberFormat="1" applyFill="1" applyBorder="1" applyAlignment="1" applyProtection="true">
      <alignment horizontal="general" vertical="center" textRotation="0" wrapText="true" shrinkToFit="false"/>
      <protection hidden="true"/>
    </xf>
    <xf xfId="0" fontId="5" numFmtId="0" fillId="24" borderId="6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7" numFmtId="0" fillId="8" borderId="1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7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8" numFmtId="0" fillId="12" borderId="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23" borderId="1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0" borderId="2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168" fillId="5" borderId="28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56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51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58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32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57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8" numFmtId="168" fillId="2" borderId="53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8" fillId="2" borderId="7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2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6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8" fillId="2" borderId="34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8" numFmtId="168" fillId="2" borderId="69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32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57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12" borderId="50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12" borderId="4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2" borderId="3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7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1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3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7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12" borderId="11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12" borderId="12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5" borderId="46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48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46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4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12" borderId="52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12" borderId="8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2" borderId="53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5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34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24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12" borderId="1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12" borderId="3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5" borderId="34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69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17" numFmtId="168" fillId="8" borderId="59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17" numFmtId="168" fillId="8" borderId="15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5" borderId="28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56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66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65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7" numFmtId="168" fillId="12" borderId="50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17" numFmtId="168" fillId="12" borderId="4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17" numFmtId="168" fillId="8" borderId="52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17" numFmtId="168" fillId="8" borderId="8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25" borderId="32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25" borderId="57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1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46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73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7" numFmtId="168" fillId="8" borderId="59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17" numFmtId="168" fillId="8" borderId="15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12" borderId="59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12" borderId="15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5" borderId="18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50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5" borderId="4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5" borderId="51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41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46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73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2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6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53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7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72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18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5" borderId="33" applyFont="1" applyNumberFormat="1" applyFill="1" applyBorder="1" applyAlignment="1" applyProtection="true">
      <alignment horizontal="center" vertical="center" textRotation="0" wrapText="true" shrinkToFit="false"/>
      <protection locked="false"/>
    </xf>
    <xf xfId="0" fontId="9" numFmtId="168" fillId="2" borderId="41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9" numFmtId="168" fillId="6" borderId="52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6" borderId="8" applyFont="1" applyNumberFormat="1" applyFill="1" applyBorder="1" applyAlignment="1" applyProtection="true">
      <alignment horizontal="general" vertical="center" textRotation="0" wrapText="true" shrinkToFit="false"/>
      <protection locked="false"/>
    </xf>
    <xf xfId="0" fontId="9" numFmtId="168" fillId="2" borderId="73" applyFont="1" applyNumberFormat="1" applyFill="0" applyBorder="1" applyAlignment="1" applyProtection="true">
      <alignment horizontal="center" vertical="center" textRotation="0" wrapText="true" shrinkToFit="false"/>
      <protection locked="false"/>
    </xf>
    <xf xfId="0" fontId="11" numFmtId="0" fillId="2" borderId="21" applyFont="1" applyNumberFormat="0" applyFill="0" applyBorder="1" applyAlignment="1">
      <alignment horizontal="general" vertical="center" textRotation="0" wrapText="true" shrinkToFit="false"/>
    </xf>
    <xf xfId="0" fontId="28" numFmtId="0" fillId="2" borderId="20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28" numFmtId="0" fillId="2" borderId="43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28" numFmtId="0" fillId="2" borderId="4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57" applyFont="1" applyNumberFormat="0" applyFill="0" applyBorder="1" applyAlignment="1">
      <alignment horizontal="general" vertical="center" textRotation="0" wrapText="true" shrinkToFit="false"/>
    </xf>
    <xf xfId="0" fontId="11" numFmtId="0" fillId="2" borderId="3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29" numFmtId="0" fillId="5" borderId="0" applyFont="1" applyNumberFormat="0" applyFill="1" applyBorder="0" applyAlignment="1" applyProtection="true">
      <alignment horizontal="center" vertical="bottom" textRotation="0" wrapText="false" shrinkToFit="false"/>
      <protection hidden="true"/>
    </xf>
    <xf xfId="0" fontId="7" numFmtId="0" fillId="5" borderId="0" applyFont="1" applyNumberFormat="0" applyFill="1" applyBorder="0" applyAlignment="1" applyProtection="true">
      <alignment horizontal="center" vertical="bottom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0" numFmtId="0" fillId="2" borderId="54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0" fillId="2" borderId="53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7" numFmtId="2" fillId="2" borderId="27" applyFont="1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0" numFmtId="0" fillId="2" borderId="57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30" numFmtId="2" fillId="2" borderId="27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30" numFmtId="2" fillId="2" borderId="4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2" fillId="2" borderId="40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0" fillId="2" borderId="5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31" numFmtId="0" fillId="2" borderId="0" applyFont="1" applyNumberFormat="0" applyFill="0" applyBorder="0" applyAlignment="1">
      <alignment horizontal="general" vertical="center" textRotation="0" wrapText="false" shrinkToFit="false"/>
    </xf>
    <xf xfId="0" fontId="11" numFmtId="2" fillId="6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2" fillId="6" borderId="2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9" fillId="6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2" borderId="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9" fillId="17" borderId="3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2" numFmtId="0" fillId="2" borderId="6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2" fillId="17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2" borderId="42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7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2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1" numFmtId="0" fillId="2" borderId="2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3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2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4" borderId="35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3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9" fillId="2" borderId="3" applyFont="0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9" fillId="2" borderId="8" applyFont="0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2" borderId="1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1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1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1" numFmtId="165" fillId="14" borderId="2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4" borderId="43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4" borderId="44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1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2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2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0" fillId="2" borderId="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5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4" borderId="50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4" borderId="52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9" fillId="17" borderId="4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0" fillId="2" borderId="3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2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4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1" numFmtId="0" fillId="2" borderId="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2" numFmtId="165" fillId="14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14" borderId="42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2" numFmtId="0" fillId="14" borderId="7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7" numFmtId="9" fillId="2" borderId="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7" numFmtId="9" fillId="2" borderId="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7" numFmtId="9" fillId="2" borderId="8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2" fillId="2" borderId="21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2" numFmtId="2" fillId="2" borderId="35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1" numFmtId="165" fillId="14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2" borderId="2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9" fillId="17" borderId="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7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2" fillId="6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2" fillId="6" borderId="2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7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1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52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2" fillId="2" borderId="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0" fillId="2" borderId="6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42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2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2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5" borderId="6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5" borderId="7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165" fillId="23" borderId="2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23" borderId="2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4" borderId="29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4" borderId="25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9" fillId="2" borderId="30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1" numFmtId="9" fillId="2" borderId="60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7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23" borderId="62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23" borderId="70" applyFont="0" applyNumberFormat="0" applyFill="1" applyBorder="1" applyAlignment="1" applyProtection="true">
      <alignment horizontal="center" vertical="center" textRotation="0" wrapText="true" shrinkToFit="false"/>
      <protection hidden="true"/>
    </xf>
    <xf xfId="0" fontId="9" numFmtId="9" fillId="6" borderId="42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4" borderId="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2" borderId="5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1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0" fillId="2" borderId="4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42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2" borderId="7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9" fillId="17" borderId="4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9" numFmtId="9" fillId="17" borderId="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17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17" borderId="42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3" borderId="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11" numFmtId="0" fillId="2" borderId="70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6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14" borderId="26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9" fillId="2" borderId="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9" fillId="6" borderId="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5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3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1" numFmtId="0" fillId="2" borderId="7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1" numFmtId="165" fillId="14" borderId="7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71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0" fillId="17" borderId="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0" fillId="17" borderId="4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27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27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165" fillId="14" borderId="4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2" numFmtId="0" fillId="14" borderId="43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2" fillId="6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6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1" numFmtId="0" fillId="14" borderId="62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4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50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7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31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2" numFmtId="0" fillId="2" borderId="4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7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2" numFmtId="0" fillId="14" borderId="50" applyFont="1" applyNumberFormat="0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42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1" numFmtId="0" fillId="2" borderId="3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1" numFmtId="165" fillId="10" borderId="19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0" borderId="25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3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6" borderId="60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165" fillId="10" borderId="1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17" borderId="3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11" numFmtId="9" fillId="17" borderId="8" applyFont="1" applyNumberFormat="1" applyFill="1" applyBorder="1" applyAlignment="1" applyProtection="true">
      <alignment horizontal="center" vertical="center" textRotation="0" wrapText="true" shrinkToFit="false"/>
      <protection hidden="true"/>
    </xf>
    <xf xfId="0" fontId="5" numFmtId="0" fillId="5" borderId="1" applyFont="1" applyNumberFormat="0" applyFill="1" applyBorder="1" applyAlignment="1" applyProtection="true">
      <alignment horizontal="general" vertical="top" textRotation="0" wrapText="true" shrinkToFit="false"/>
      <protection hidden="true"/>
    </xf>
    <xf xfId="0" fontId="32" numFmtId="0" fillId="5" borderId="2" applyFont="1" applyNumberFormat="0" applyFill="1" applyBorder="1" applyAlignment="1" applyProtection="true">
      <alignment horizontal="general" vertical="top" textRotation="0" wrapText="true" shrinkToFit="false"/>
      <protection hidden="true"/>
    </xf>
    <xf xfId="0" fontId="32" numFmtId="0" fillId="5" borderId="3" applyFont="1" applyNumberFormat="0" applyFill="1" applyBorder="1" applyAlignment="1" applyProtection="true">
      <alignment horizontal="general" vertical="top" textRotation="0" wrapText="true" shrinkToFit="false"/>
      <protection hidden="true"/>
    </xf>
    <xf xfId="0" fontId="23" numFmtId="0" fillId="7" borderId="5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3" numFmtId="0" fillId="7" borderId="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3" numFmtId="0" fillId="7" borderId="1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3" numFmtId="0" fillId="26" borderId="1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7" numFmtId="0" fillId="27" borderId="4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0" fillId="27" borderId="1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0" fillId="27" borderId="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0" fillId="27" borderId="4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33" numFmtId="0" fillId="27" borderId="42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7" numFmtId="0" fillId="26" borderId="7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7" numFmtId="0" fillId="26" borderId="10" applyFont="1" applyNumberFormat="0" applyFill="1" applyBorder="1" applyAlignment="1" applyProtection="true">
      <alignment horizontal="left" vertical="center" textRotation="0" wrapText="true" shrinkToFit="false"/>
      <protection hidden="true"/>
    </xf>
    <xf xfId="0" fontId="7" numFmtId="0" fillId="26" borderId="1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9" numFmtId="0" fillId="27" borderId="7" applyFont="1" applyNumberFormat="0" applyFill="1" applyBorder="1" applyAlignment="1" applyProtection="true">
      <alignment horizontal="general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X182"/>
  <sheetViews>
    <sheetView tabSelected="1" workbookViewId="0" zoomScale="60" zoomScaleNormal="60" showGridLines="true" showRowColHeaders="1">
      <selection activeCell="B112" sqref="B112"/>
    </sheetView>
  </sheetViews>
  <sheetFormatPr defaultRowHeight="14.4" defaultColWidth="8.88671875" outlineLevelRow="0" outlineLevelCol="0"/>
  <cols>
    <col min="1" max="1" width="0" hidden="true" customWidth="true" style="5"/>
    <col min="2" max="2" width="18.5546875" customWidth="true" style="5"/>
    <col min="3" max="3" width="7.88671875" customWidth="true" style="5"/>
    <col min="4" max="4" width="47.44140625" customWidth="true" style="5"/>
    <col min="5" max="5" width="9.5546875" customWidth="true" style="5"/>
    <col min="6" max="6" width="47.44140625" customWidth="true" style="5"/>
    <col min="7" max="7" width="10" customWidth="true" style="5"/>
    <col min="8" max="8" width="11.88671875" customWidth="true" style="5"/>
    <col min="9" max="9" width="10.33203125" customWidth="true" style="5"/>
    <col min="10" max="10" width="12.109375" customWidth="true" style="5"/>
    <col min="11" max="11" width="12.5546875" customWidth="true" style="5"/>
    <col min="12" max="12" width="16" customWidth="true" style="5"/>
    <col min="13" max="13" width="12.109375" customWidth="true" style="5"/>
    <col min="14" max="14" width="15.33203125" hidden="true" customWidth="true" style="5"/>
    <col min="15" max="15" width="16.109375" customWidth="true" style="5"/>
    <col min="16" max="16" width="15.33203125" customWidth="true" style="5"/>
    <col min="17" max="17" width="42.88671875" customWidth="true" style="5"/>
    <col min="18" max="18" width="32.33203125" customWidth="true" style="5"/>
    <col min="19" max="19" width="66.5546875" customWidth="true" style="5"/>
    <col min="20" max="20" width="8.88671875" style="5"/>
    <col min="21" max="21" width="8.6640625" customWidth="true" style="5"/>
    <col min="22" max="22" width="33.88671875" customWidth="true" style="5"/>
    <col min="23" max="23" width="22.77734375" customWidth="true" style="5"/>
    <col min="24" max="24" width="23.5546875" customWidth="true" style="5"/>
    <col min="25" max="25" width="15" customWidth="true" style="5"/>
    <col min="26" max="26" width="11.88671875" customWidth="true" style="5"/>
    <col min="27" max="27" width="8.88671875" style="5"/>
    <col min="28" max="28" width="28.44140625" customWidth="true" style="5"/>
    <col min="29" max="29" width="28.44140625" customWidth="true" style="5"/>
    <col min="30" max="30" width="28.44140625" customWidth="true" style="5"/>
    <col min="31" max="31" width="8.88671875" style="5"/>
  </cols>
  <sheetData>
    <row r="1" spans="1:466" customHeight="1" ht="6.75" s="1" customFormat="1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</row>
    <row r="2" spans="1:466" customHeight="1" ht="30">
      <c r="B2" s="405"/>
      <c r="C2" s="406"/>
      <c r="D2" s="407" t="s">
        <v>0</v>
      </c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8"/>
    </row>
    <row r="3" spans="1:466" customHeight="1" ht="30.6">
      <c r="B3" s="409"/>
      <c r="C3" s="410"/>
      <c r="D3" s="410"/>
      <c r="E3" s="407" t="s">
        <v>1</v>
      </c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1"/>
    </row>
    <row r="4" spans="1:466" customHeight="1" ht="26.7">
      <c r="B4" s="409"/>
      <c r="C4" s="410"/>
      <c r="D4" s="8" t="s">
        <v>2</v>
      </c>
      <c r="E4" s="410"/>
      <c r="F4" s="9" t="s">
        <v>3</v>
      </c>
      <c r="G4" s="410"/>
      <c r="H4" s="410"/>
      <c r="I4" s="410"/>
      <c r="J4" s="410"/>
      <c r="K4" s="765" t="s">
        <v>4</v>
      </c>
      <c r="L4" s="766"/>
      <c r="M4" s="767"/>
      <c r="N4" s="10" t="str">
        <f>(N9+N55+N72+N83+N91+N94+N107)/7</f>
        <v>0</v>
      </c>
      <c r="O4" s="11">
        <f>(O9+O55+O72+O83+O91+O94+O107)</f>
        <v>47.510820456845</v>
      </c>
      <c r="P4" s="12">
        <f>O4/100</f>
        <v>0.47510820456845</v>
      </c>
      <c r="Q4" s="6"/>
      <c r="R4" s="6"/>
      <c r="S4" s="7"/>
    </row>
    <row r="5" spans="1:466" customHeight="1" ht="13.5">
      <c r="B5" s="409"/>
      <c r="C5" s="410"/>
      <c r="D5" s="6"/>
      <c r="E5" s="6"/>
      <c r="F5" s="6"/>
      <c r="G5" s="410"/>
      <c r="H5" s="410"/>
      <c r="I5" s="410"/>
      <c r="J5" s="410"/>
      <c r="K5" s="410"/>
      <c r="L5" s="410"/>
      <c r="M5" s="410"/>
      <c r="N5" s="6"/>
      <c r="O5" s="6"/>
      <c r="P5" s="410"/>
      <c r="Q5" s="6"/>
      <c r="R5" s="6"/>
      <c r="S5" s="7"/>
    </row>
    <row r="6" spans="1:466" customHeight="1" ht="27.45">
      <c r="B6" s="412"/>
      <c r="C6" s="413"/>
      <c r="D6" s="525" t="s">
        <v>5</v>
      </c>
      <c r="E6" s="413"/>
      <c r="F6" s="13">
        <v>2023</v>
      </c>
      <c r="G6" s="413"/>
      <c r="H6" s="413"/>
      <c r="I6" s="413"/>
      <c r="J6" s="413"/>
      <c r="K6" s="413"/>
      <c r="L6" s="522"/>
      <c r="M6" s="14">
        <f>100/28</f>
        <v>3.5714285714286</v>
      </c>
      <c r="N6" s="15"/>
      <c r="O6" s="16"/>
      <c r="P6" s="521"/>
      <c r="Q6" s="15"/>
      <c r="R6" s="15"/>
      <c r="S6" s="17"/>
    </row>
    <row r="7" spans="1:466" customHeight="1" ht="10.5">
      <c r="B7" s="768"/>
      <c r="C7" s="769"/>
      <c r="D7" s="769"/>
      <c r="E7" s="769"/>
      <c r="F7" s="770"/>
      <c r="G7" s="523"/>
      <c r="H7" s="523"/>
      <c r="I7" s="523"/>
      <c r="J7" s="523"/>
      <c r="K7" s="523"/>
      <c r="L7" s="523"/>
      <c r="M7" s="523"/>
      <c r="N7" s="18"/>
      <c r="O7" s="19"/>
      <c r="P7" s="524"/>
      <c r="Q7" s="523"/>
      <c r="R7" s="20"/>
      <c r="S7" s="21"/>
    </row>
    <row r="8" spans="1:466" customHeight="1" ht="55.95">
      <c r="A8" s="22"/>
      <c r="B8" s="23" t="s">
        <v>6</v>
      </c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4" t="s">
        <v>13</v>
      </c>
      <c r="J8" s="25" t="s">
        <v>14</v>
      </c>
      <c r="K8" s="26" t="s">
        <v>15</v>
      </c>
      <c r="L8" s="27" t="s">
        <v>16</v>
      </c>
      <c r="M8" s="26" t="s">
        <v>17</v>
      </c>
      <c r="N8" s="24" t="s">
        <v>18</v>
      </c>
      <c r="O8" s="24" t="s">
        <v>19</v>
      </c>
      <c r="P8" s="28" t="s">
        <v>20</v>
      </c>
      <c r="Q8" s="29" t="s">
        <v>21</v>
      </c>
      <c r="R8" s="29" t="s">
        <v>22</v>
      </c>
      <c r="S8" s="29" t="s">
        <v>23</v>
      </c>
    </row>
    <row r="9" spans="1:466" customHeight="1" ht="25.35" s="39" customFormat="1">
      <c r="A9" s="30"/>
      <c r="B9" s="771" t="s">
        <v>24</v>
      </c>
      <c r="C9" s="771"/>
      <c r="D9" s="771"/>
      <c r="E9" s="771"/>
      <c r="F9" s="771"/>
      <c r="G9" s="31"/>
      <c r="H9" s="32"/>
      <c r="I9" s="33"/>
      <c r="J9" s="34"/>
      <c r="K9" s="34"/>
      <c r="L9" s="34"/>
      <c r="M9" s="31"/>
      <c r="N9" s="35" t="str">
        <f>(N10+N22+N27+N37+N42+N48+N51)/7</f>
        <v>0</v>
      </c>
      <c r="O9" s="36">
        <f>(O10+O22+O27+O37+O42+O48+O51)</f>
        <v>15.059580165461</v>
      </c>
      <c r="P9" s="37">
        <f>O9/42.857136</f>
        <v>0.3513902600832</v>
      </c>
      <c r="Q9" s="34"/>
      <c r="R9" s="38"/>
      <c r="S9" s="38"/>
      <c r="T9" s="5"/>
      <c r="U9" s="5"/>
      <c r="V9" s="616"/>
      <c r="W9" s="617"/>
      <c r="X9" s="617"/>
      <c r="Y9" s="617"/>
      <c r="Z9" s="618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</row>
    <row r="10" spans="1:466" customHeight="1" ht="25.35" s="46" customFormat="1">
      <c r="A10" s="40"/>
      <c r="B10" s="772" t="s">
        <v>25</v>
      </c>
      <c r="C10" s="772"/>
      <c r="D10" s="772"/>
      <c r="E10" s="772"/>
      <c r="F10" s="772"/>
      <c r="G10" s="41"/>
      <c r="H10" s="42"/>
      <c r="I10" s="43"/>
      <c r="J10" s="44"/>
      <c r="K10" s="44"/>
      <c r="L10" s="44"/>
      <c r="M10" s="41"/>
      <c r="N10" s="35">
        <f>(N11+N13+N16)/3</f>
        <v>0.088012920055607</v>
      </c>
      <c r="O10" s="36">
        <f>(O11+O13+O16)</f>
        <v>1.7959588371937</v>
      </c>
      <c r="P10" s="37">
        <f>O10/10.714284</f>
        <v>0.1676228516244</v>
      </c>
      <c r="Q10" s="44"/>
      <c r="R10" s="45"/>
      <c r="S10" s="45"/>
      <c r="T10" s="5"/>
      <c r="U10" s="5"/>
      <c r="V10" s="619"/>
      <c r="W10" s="617"/>
      <c r="X10" s="617"/>
      <c r="Y10" s="617"/>
      <c r="Z10" s="618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</row>
    <row r="11" spans="1:466" customHeight="1" ht="27.75">
      <c r="A11" s="641">
        <v>1</v>
      </c>
      <c r="B11" s="756" t="s">
        <v>26</v>
      </c>
      <c r="C11" s="758">
        <f>M6</f>
        <v>3.5714285714286</v>
      </c>
      <c r="D11" s="416" t="s">
        <v>27</v>
      </c>
      <c r="E11" s="423">
        <f>$C$11/2</f>
        <v>1.7857142857143</v>
      </c>
      <c r="F11" s="416" t="s">
        <v>28</v>
      </c>
      <c r="G11" s="420">
        <f>E11/1</f>
        <v>1.7857142857143</v>
      </c>
      <c r="H11" s="531">
        <v>3917</v>
      </c>
      <c r="I11" s="532">
        <v>3631</v>
      </c>
      <c r="J11" s="48">
        <f>(H11-I11)</f>
        <v>286</v>
      </c>
      <c r="K11" s="49">
        <v>1089.3</v>
      </c>
      <c r="L11" s="50">
        <f>I11+K11</f>
        <v>4720.3</v>
      </c>
      <c r="M11" s="51">
        <f>IF(K11&lt;&gt;0,J11/K11,"0%")</f>
        <v>0.2625539337189</v>
      </c>
      <c r="N11" s="760">
        <f>(((G11/C11)*M11)+((G12/C11)*M12))</f>
        <v>-0.23882979470639</v>
      </c>
      <c r="O11" s="630">
        <f>X12</f>
        <v>0</v>
      </c>
      <c r="P11" s="632">
        <f>O11/3.571428</f>
        <v>0</v>
      </c>
      <c r="Q11" s="53" t="s">
        <v>29</v>
      </c>
      <c r="R11" s="54" t="s">
        <v>30</v>
      </c>
      <c r="S11" s="55">
        <v>4720.3</v>
      </c>
      <c r="T11" s="5">
        <f>(0.3*I11)</f>
        <v>1089.3</v>
      </c>
      <c r="U11" s="5" t="s">
        <v>31</v>
      </c>
      <c r="V11" s="623">
        <f>(G11/C11)*M11</f>
        <v>0.13127696685945</v>
      </c>
      <c r="W11" s="620"/>
      <c r="X11" s="621"/>
      <c r="Y11" s="621"/>
      <c r="Z11" s="622"/>
    </row>
    <row r="12" spans="1:466" customHeight="1" ht="27">
      <c r="A12" s="641"/>
      <c r="B12" s="757"/>
      <c r="C12" s="759"/>
      <c r="D12" s="414" t="s">
        <v>32</v>
      </c>
      <c r="E12" s="424">
        <f>$C$11/2</f>
        <v>1.7857142857143</v>
      </c>
      <c r="F12" s="414" t="s">
        <v>33</v>
      </c>
      <c r="G12" s="419">
        <f>E12/1</f>
        <v>1.7857142857143</v>
      </c>
      <c r="H12" s="533">
        <v>0.333</v>
      </c>
      <c r="I12" s="534">
        <v>0.281</v>
      </c>
      <c r="J12" s="56">
        <f>I12-H12</f>
        <v>-0.052</v>
      </c>
      <c r="K12" s="57">
        <v>0.07025</v>
      </c>
      <c r="L12" s="58">
        <f>I12-K12</f>
        <v>0.21075</v>
      </c>
      <c r="M12" s="59">
        <f>IF(K12&lt;&gt;0,J12/K12,"0%")</f>
        <v>-0.74021352313167</v>
      </c>
      <c r="N12" s="761"/>
      <c r="O12" s="631"/>
      <c r="P12" s="633"/>
      <c r="Q12" s="60" t="s">
        <v>34</v>
      </c>
      <c r="R12" s="54" t="s">
        <v>35</v>
      </c>
      <c r="S12" s="61">
        <v>0.21075</v>
      </c>
      <c r="T12" s="5">
        <f>(0.25*I12)</f>
        <v>0.07025</v>
      </c>
      <c r="U12" s="5" t="s">
        <v>31</v>
      </c>
      <c r="V12" s="623">
        <f>(G12/C11)*M12</f>
        <v>-0.37010676156584</v>
      </c>
      <c r="W12" s="62">
        <f>SUM(V11:V12)</f>
        <v>-0.23882979470639</v>
      </c>
      <c r="X12" s="62">
        <f>IF((W12)&gt;=1,3.57148,IF((W12)&lt;=0,0, (W12)*3.571428))</f>
        <v>0</v>
      </c>
      <c r="Y12" s="621"/>
      <c r="Z12" s="622"/>
    </row>
    <row r="13" spans="1:466" customHeight="1" ht="27">
      <c r="A13" s="47"/>
      <c r="B13" s="750" t="s">
        <v>36</v>
      </c>
      <c r="C13" s="762">
        <f>M6</f>
        <v>3.5714285714286</v>
      </c>
      <c r="D13" s="415" t="s">
        <v>37</v>
      </c>
      <c r="E13" s="530">
        <f>$C$13/3</f>
        <v>1.1904761904762</v>
      </c>
      <c r="F13" s="421" t="s">
        <v>38</v>
      </c>
      <c r="G13" s="420">
        <f>E13/1</f>
        <v>1.1904761904762</v>
      </c>
      <c r="H13" s="531">
        <v>49.3</v>
      </c>
      <c r="I13" s="532">
        <v>49.5</v>
      </c>
      <c r="J13" s="63">
        <f>I13-H13</f>
        <v>0.2</v>
      </c>
      <c r="K13" s="49">
        <v>9.9</v>
      </c>
      <c r="L13" s="50">
        <f>I13-K13</f>
        <v>39.6</v>
      </c>
      <c r="M13" s="51">
        <f>IF(K13&lt;&gt;0,J13/K13,"0%")</f>
        <v>0.02020202020202</v>
      </c>
      <c r="N13" s="763">
        <f>(((G13/C13)*M13)+((G14/C13)*M14)+((G15/C13)*M15))</f>
        <v>0.079044412377746</v>
      </c>
      <c r="O13" s="637">
        <f>X15</f>
        <v>0.28230142760943</v>
      </c>
      <c r="P13" s="725">
        <f>O13/3.571428</f>
        <v>0.079044412377746</v>
      </c>
      <c r="Q13" s="65" t="s">
        <v>39</v>
      </c>
      <c r="R13" s="66" t="s">
        <v>40</v>
      </c>
      <c r="S13" s="67">
        <v>39.6</v>
      </c>
      <c r="T13" s="5">
        <f>(0.2*I13)</f>
        <v>9.9</v>
      </c>
      <c r="U13" s="5" t="s">
        <v>31</v>
      </c>
      <c r="V13" s="623">
        <f>(G13/C13)*M13</f>
        <v>0.0067340067340068</v>
      </c>
      <c r="W13" s="624"/>
      <c r="X13" s="624"/>
      <c r="Y13" s="621"/>
      <c r="Z13" s="622"/>
    </row>
    <row r="14" spans="1:466" customHeight="1" ht="43.95">
      <c r="A14" s="47"/>
      <c r="B14" s="692"/>
      <c r="C14" s="709"/>
      <c r="D14" s="68" t="s">
        <v>41</v>
      </c>
      <c r="E14" s="425">
        <f>$C$13/3</f>
        <v>1.1904761904762</v>
      </c>
      <c r="F14" s="422" t="s">
        <v>42</v>
      </c>
      <c r="G14" s="417">
        <f>E14/1</f>
        <v>1.1904761904762</v>
      </c>
      <c r="H14" s="535">
        <v>0.589</v>
      </c>
      <c r="I14" s="536">
        <v>0.63</v>
      </c>
      <c r="J14" s="69">
        <f>I14-H14</f>
        <v>0.041</v>
      </c>
      <c r="K14" s="70">
        <v>0.189</v>
      </c>
      <c r="L14" s="71">
        <f>I14-K14</f>
        <v>0.441</v>
      </c>
      <c r="M14" s="72">
        <f>IF(K14&lt;&gt;0,J14/K14,"0%")</f>
        <v>0.21693121693122</v>
      </c>
      <c r="N14" s="664"/>
      <c r="O14" s="638"/>
      <c r="P14" s="726"/>
      <c r="Q14" s="73" t="s">
        <v>43</v>
      </c>
      <c r="R14" s="66" t="s">
        <v>40</v>
      </c>
      <c r="S14" s="67">
        <v>0.441</v>
      </c>
      <c r="T14" s="5">
        <f>(0.3*I14)</f>
        <v>0.189</v>
      </c>
      <c r="U14" s="5" t="s">
        <v>31</v>
      </c>
      <c r="V14" s="623">
        <f>(G14/C13)*M14</f>
        <v>0.072310405643739</v>
      </c>
      <c r="W14" s="624"/>
      <c r="X14" s="624"/>
      <c r="Y14" s="621"/>
      <c r="Z14" s="622"/>
    </row>
    <row r="15" spans="1:466" customHeight="1" ht="33">
      <c r="A15" s="74"/>
      <c r="B15" s="686"/>
      <c r="C15" s="709"/>
      <c r="D15" s="427" t="s">
        <v>44</v>
      </c>
      <c r="E15" s="426">
        <f>$C$13/3</f>
        <v>1.1904761904762</v>
      </c>
      <c r="F15" s="422" t="s">
        <v>45</v>
      </c>
      <c r="G15" s="418">
        <f>E15/1</f>
        <v>1.1904761904762</v>
      </c>
      <c r="H15" s="537">
        <v>0.058</v>
      </c>
      <c r="I15" s="538">
        <v>0.058</v>
      </c>
      <c r="J15" s="75">
        <f>I15-H15</f>
        <v>0</v>
      </c>
      <c r="K15" s="76">
        <v>0.0464</v>
      </c>
      <c r="L15" s="77">
        <f>I15-K15</f>
        <v>0.0116</v>
      </c>
      <c r="M15" s="59">
        <f>IF(K15&lt;&gt;0,J15/K15,"0%")</f>
        <v>0</v>
      </c>
      <c r="N15" s="764"/>
      <c r="O15" s="639"/>
      <c r="P15" s="726"/>
      <c r="Q15" s="78" t="s">
        <v>46</v>
      </c>
      <c r="R15" s="66" t="s">
        <v>47</v>
      </c>
      <c r="S15" s="79">
        <v>0.0116</v>
      </c>
      <c r="T15" s="5">
        <f>(0.8*I15)</f>
        <v>0.0464</v>
      </c>
      <c r="U15" s="5" t="s">
        <v>31</v>
      </c>
      <c r="V15" s="628">
        <f>(G15/C13)*M15</f>
        <v>0</v>
      </c>
      <c r="W15" s="625">
        <f>SUM(V13:V15)</f>
        <v>0.079044412377746</v>
      </c>
      <c r="X15" s="625">
        <f>IF((W15)&gt;=1,3.571428,IF((W15)&lt;=0,0,(W15)*3.571428))</f>
        <v>0.28230142760943</v>
      </c>
      <c r="Y15" s="626"/>
      <c r="Z15" s="627"/>
    </row>
    <row r="16" spans="1:466" customHeight="1" ht="22.35">
      <c r="A16" s="658">
        <v>3</v>
      </c>
      <c r="B16" s="732" t="s">
        <v>48</v>
      </c>
      <c r="C16" s="687">
        <f>M6</f>
        <v>3.5714285714286</v>
      </c>
      <c r="D16" s="748" t="s">
        <v>49</v>
      </c>
      <c r="E16" s="679">
        <f>$C$16/4</f>
        <v>0.89285714285714</v>
      </c>
      <c r="F16" s="607" t="s">
        <v>50</v>
      </c>
      <c r="G16" s="420">
        <f>$E$16/3</f>
        <v>0.29761904761905</v>
      </c>
      <c r="H16" s="539">
        <v>0.823</v>
      </c>
      <c r="I16" s="540">
        <v>0.59</v>
      </c>
      <c r="J16" s="80">
        <f>H16-I16</f>
        <v>0.233</v>
      </c>
      <c r="K16" s="81">
        <v>0.295</v>
      </c>
      <c r="L16" s="82">
        <f>K16+I16</f>
        <v>0.885</v>
      </c>
      <c r="M16" s="51">
        <f>IF(AND(H16&lt;1,I16=1),(H16-I16)/1,IF(AND(H16&gt;=1,I16&lt;=1),1,IF(K16&gt;0,(J16/K16),"0%")))</f>
        <v>0.78983050847458</v>
      </c>
      <c r="N16" s="718">
        <f>(((G16/C16)*M16)+((G17/C16)*M17)+((G18/C16)*M18)+((G19/C16)*M19)+((G20/C16)*M20)+((G21/C16)*M21))</f>
        <v>0.42382414249546</v>
      </c>
      <c r="O16" s="690">
        <f>X21</f>
        <v>1.5136574095843</v>
      </c>
      <c r="P16" s="725">
        <f>O16/3.571428</f>
        <v>0.42382414249546</v>
      </c>
      <c r="Q16" s="83" t="s">
        <v>51</v>
      </c>
      <c r="R16" s="84" t="s">
        <v>52</v>
      </c>
      <c r="S16" s="85">
        <v>0.885</v>
      </c>
      <c r="T16" s="5">
        <f>IF((I16=1),0,IF(((0.5*I16*1)+I16&gt;1),1-I16,(0.5*I16*1)))</f>
        <v>0.295</v>
      </c>
      <c r="U16" s="5" t="s">
        <v>31</v>
      </c>
      <c r="V16" s="5">
        <f>(G16/C16)*M16</f>
        <v>0.065819209039548</v>
      </c>
    </row>
    <row r="17" spans="1:466" customHeight="1" ht="87">
      <c r="A17" s="658"/>
      <c r="B17" s="747"/>
      <c r="C17" s="714"/>
      <c r="D17" s="749"/>
      <c r="E17" s="693"/>
      <c r="F17" s="433" t="s">
        <v>53</v>
      </c>
      <c r="G17" s="417">
        <f>$E$16/3</f>
        <v>0.29761904761905</v>
      </c>
      <c r="H17" s="533">
        <v>0.96</v>
      </c>
      <c r="I17" s="534">
        <v>0.426</v>
      </c>
      <c r="J17" s="80">
        <f>H17-I17</f>
        <v>0.534</v>
      </c>
      <c r="K17" s="81">
        <v>0.213</v>
      </c>
      <c r="L17" s="82">
        <f>IF((K17+I17)&gt;100,"100",(K17+I17))</f>
        <v>0.639</v>
      </c>
      <c r="M17" s="51">
        <f>IF(AND(H17&lt;1,I17=1),(H17-I17)/1,IF(AND(H17&gt;=1,I17&lt;=1),1,IF(K17&lt;&gt;0,(J17/K17),"0%")))</f>
        <v>2.5070422535211</v>
      </c>
      <c r="N17" s="719"/>
      <c r="O17" s="638"/>
      <c r="P17" s="726"/>
      <c r="Q17" s="86" t="s">
        <v>39</v>
      </c>
      <c r="R17" s="87" t="s">
        <v>54</v>
      </c>
      <c r="S17" s="88">
        <v>0.639</v>
      </c>
      <c r="T17" s="5">
        <f>IF((I17=1),0,IF(((0.5*I17*1)+I17&gt;1),1-I17,(0.5*I17*1)))</f>
        <v>0.213</v>
      </c>
      <c r="U17" s="5" t="s">
        <v>31</v>
      </c>
      <c r="V17" s="5">
        <f>(G17/C16)*M17</f>
        <v>0.20892018779343</v>
      </c>
    </row>
    <row r="18" spans="1:466" customHeight="1" ht="25.35">
      <c r="A18" s="658"/>
      <c r="B18" s="747"/>
      <c r="C18" s="714"/>
      <c r="D18" s="749"/>
      <c r="E18" s="693"/>
      <c r="F18" s="433" t="s">
        <v>55</v>
      </c>
      <c r="G18" s="417">
        <f>$E$16/3</f>
        <v>0.29761904761905</v>
      </c>
      <c r="H18" s="535">
        <v>0.503</v>
      </c>
      <c r="I18" s="536">
        <v>0.257</v>
      </c>
      <c r="J18" s="89">
        <f>H18-I18</f>
        <v>0.246</v>
      </c>
      <c r="K18" s="81">
        <v>0.1285</v>
      </c>
      <c r="L18" s="82">
        <f>IF((K18+I18)&gt;100,"100",(K18+I18))</f>
        <v>0.3855</v>
      </c>
      <c r="M18" s="51">
        <f>IF(AND(H18&lt;1,I18=1),(H18-I18)/1,IF(AND(H18&gt;=1,I18&lt;=1),1,IF(K18&lt;&gt;0,(J18/K18),"0%")))</f>
        <v>1.9143968871595</v>
      </c>
      <c r="N18" s="719"/>
      <c r="O18" s="638"/>
      <c r="P18" s="726"/>
      <c r="Q18" s="86" t="s">
        <v>56</v>
      </c>
      <c r="R18" s="87" t="s">
        <v>57</v>
      </c>
      <c r="S18" s="88">
        <v>0.3855</v>
      </c>
      <c r="T18" s="5">
        <f>IF((I18=1),0,IF(((0.5*I18*1)+I18&gt;1),1-I18,(0.5*I18*1)))</f>
        <v>0.1285</v>
      </c>
      <c r="U18" s="5" t="s">
        <v>31</v>
      </c>
      <c r="V18" s="5">
        <f>(G18/C16)*M18</f>
        <v>0.15953307392996</v>
      </c>
    </row>
    <row r="19" spans="1:466" customHeight="1" ht="25.35">
      <c r="A19" s="47"/>
      <c r="B19" s="733"/>
      <c r="C19" s="638"/>
      <c r="D19" s="428" t="s">
        <v>58</v>
      </c>
      <c r="E19" s="431">
        <f>$C$16/4</f>
        <v>0.89285714285714</v>
      </c>
      <c r="F19" s="428" t="s">
        <v>59</v>
      </c>
      <c r="G19" s="434">
        <f>E19/1</f>
        <v>0.89285714285714</v>
      </c>
      <c r="H19" s="541">
        <v>0.75</v>
      </c>
      <c r="I19" s="542">
        <v>0.72</v>
      </c>
      <c r="J19" s="89">
        <f>H19-I19</f>
        <v>0.03</v>
      </c>
      <c r="K19" s="81">
        <v>0.28</v>
      </c>
      <c r="L19" s="90">
        <f>K19+I19</f>
        <v>1</v>
      </c>
      <c r="M19" s="72">
        <f>IF(K19&lt;&gt;0,J19/K19,"0%")</f>
        <v>0.10714285714286</v>
      </c>
      <c r="N19" s="638"/>
      <c r="O19" s="638"/>
      <c r="P19" s="709"/>
      <c r="Q19" s="91" t="s">
        <v>46</v>
      </c>
      <c r="R19" s="66" t="s">
        <v>60</v>
      </c>
      <c r="S19" s="88">
        <v>0.44</v>
      </c>
      <c r="T19" s="5">
        <f>IF((I19&gt;=1),0,IF((0.95*I19*1)+I19&gt;1,(1-I19),(0.95*I19*1)))</f>
        <v>0.28</v>
      </c>
      <c r="U19" s="5" t="s">
        <v>31</v>
      </c>
      <c r="V19" s="5">
        <f>(G19/C16)*M19</f>
        <v>0.026785714285714</v>
      </c>
    </row>
    <row r="20" spans="1:466" customHeight="1" ht="25.35">
      <c r="A20" s="47"/>
      <c r="B20" s="733"/>
      <c r="C20" s="638"/>
      <c r="D20" s="428" t="s">
        <v>61</v>
      </c>
      <c r="E20" s="431">
        <f>$C$16/4</f>
        <v>0.89285714285714</v>
      </c>
      <c r="F20" s="428" t="s">
        <v>62</v>
      </c>
      <c r="G20" s="434">
        <f>E20/1</f>
        <v>0.89285714285714</v>
      </c>
      <c r="H20" s="543">
        <v>0.25</v>
      </c>
      <c r="I20" s="544">
        <v>0.25</v>
      </c>
      <c r="J20" s="92">
        <f>I20-H20</f>
        <v>0</v>
      </c>
      <c r="K20" s="93">
        <v>0.025</v>
      </c>
      <c r="L20" s="94">
        <f>I20-K20</f>
        <v>0.225</v>
      </c>
      <c r="M20" s="72">
        <f>IF(AND(H20&gt;0,I20=0),(I20-H20)/100,IF(AND(H20=0,I20=0),"0%",IF(K20&lt;&gt;0,(J20/K20),"0%")))</f>
        <v>0</v>
      </c>
      <c r="N20" s="638"/>
      <c r="O20" s="638"/>
      <c r="P20" s="709"/>
      <c r="Q20" s="86" t="s">
        <v>63</v>
      </c>
      <c r="R20" s="395" t="s">
        <v>64</v>
      </c>
      <c r="S20" s="67">
        <v>0.225</v>
      </c>
      <c r="T20" s="5">
        <f>IF((I20&lt;=0),0,((0.1*I20)*1))</f>
        <v>0.025</v>
      </c>
      <c r="U20" s="5" t="s">
        <v>31</v>
      </c>
      <c r="V20" s="5">
        <f>(G20/C16)*M20</f>
        <v>0</v>
      </c>
    </row>
    <row r="21" spans="1:466" customHeight="1" ht="40.2">
      <c r="A21" s="47"/>
      <c r="B21" s="689"/>
      <c r="C21" s="639"/>
      <c r="D21" s="429" t="s">
        <v>65</v>
      </c>
      <c r="E21" s="432">
        <f>$C$16/4</f>
        <v>0.89285714285714</v>
      </c>
      <c r="F21" s="429" t="s">
        <v>66</v>
      </c>
      <c r="G21" s="435">
        <f>E21/1</f>
        <v>0.89285714285714</v>
      </c>
      <c r="H21" s="533">
        <v>0.46</v>
      </c>
      <c r="I21" s="534">
        <v>0.53</v>
      </c>
      <c r="J21" s="95">
        <f>H21-I21</f>
        <v>-0.07</v>
      </c>
      <c r="K21" s="96">
        <v>0.47</v>
      </c>
      <c r="L21" s="97">
        <f>K21+I21</f>
        <v>1</v>
      </c>
      <c r="M21" s="59">
        <f>IF(K21&lt;&gt;0,J21/K21,"0%")</f>
        <v>-0.14893617021277</v>
      </c>
      <c r="N21" s="639"/>
      <c r="O21" s="639"/>
      <c r="P21" s="710"/>
      <c r="Q21" s="98" t="s">
        <v>67</v>
      </c>
      <c r="R21" s="66" t="s">
        <v>40</v>
      </c>
      <c r="S21" s="67">
        <v>0.06</v>
      </c>
      <c r="T21" s="5">
        <f>IF((I21=1),0,IF(((0.95*I21*1)+I21&gt;1),1-I21,(0.95*(1-I21)*1)))</f>
        <v>0.47</v>
      </c>
      <c r="U21" s="5" t="s">
        <v>31</v>
      </c>
      <c r="V21" s="5">
        <f>(G21/C16)*M21</f>
        <v>-0.037234042553191</v>
      </c>
      <c r="W21" s="5">
        <f>SUM(V16:V21)</f>
        <v>0.42382414249546</v>
      </c>
      <c r="X21" s="629">
        <f>IF((W21)&gt;=1,3.571428,IF((W21)&lt;=0,0,(W21)*3.571428))</f>
        <v>1.5136574095843</v>
      </c>
    </row>
    <row r="22" spans="1:466" customHeight="1" ht="21.45">
      <c r="A22" s="99"/>
      <c r="B22" s="773" t="s">
        <v>68</v>
      </c>
      <c r="C22" s="773"/>
      <c r="D22" s="773"/>
      <c r="E22" s="773"/>
      <c r="F22" s="773"/>
      <c r="G22" s="267"/>
      <c r="H22" s="545"/>
      <c r="I22" s="546"/>
      <c r="J22" s="100"/>
      <c r="K22" s="100"/>
      <c r="L22" s="100"/>
      <c r="M22" s="101"/>
      <c r="N22" s="35">
        <f>N23</f>
        <v>0.049261600250193</v>
      </c>
      <c r="O22" s="36">
        <f>O23</f>
        <v>0.17593425845835</v>
      </c>
      <c r="P22" s="37">
        <f>O22/3.571428</f>
        <v>0.049261600250193</v>
      </c>
      <c r="Q22" s="102"/>
      <c r="R22" s="103"/>
      <c r="S22" s="103"/>
    </row>
    <row r="23" spans="1:466" customHeight="1" ht="34.35">
      <c r="A23" s="641">
        <v>4</v>
      </c>
      <c r="B23" s="649" t="s">
        <v>69</v>
      </c>
      <c r="C23" s="679">
        <f>M6</f>
        <v>3.5714285714286</v>
      </c>
      <c r="D23" s="436" t="s">
        <v>70</v>
      </c>
      <c r="E23" s="430">
        <f>$C$23/4</f>
        <v>0.89285714285714</v>
      </c>
      <c r="F23" s="440" t="s">
        <v>71</v>
      </c>
      <c r="G23" s="420">
        <f>E23/1</f>
        <v>0.89285714285714</v>
      </c>
      <c r="H23" s="539">
        <v>0.741</v>
      </c>
      <c r="I23" s="540">
        <v>0.7</v>
      </c>
      <c r="J23" s="80">
        <f>H23-I23</f>
        <v>0.041</v>
      </c>
      <c r="K23" s="81">
        <v>0.3</v>
      </c>
      <c r="L23" s="104">
        <f>K23+I23</f>
        <v>1</v>
      </c>
      <c r="M23" s="51">
        <f>IF(AND(H23&lt;1,I23=1),(H23-I23)/100,IF(AND(H23&gt;=1,I23=1),1,IF(K23&lt;&gt;0,(J23/K23),"0%")))</f>
        <v>0.13666666666667</v>
      </c>
      <c r="N23" s="744">
        <f>(((G23/C23)*M23)+((G24/C23)*M24)+((G25/C23)*M25)+((G26/C23)*M26))</f>
        <v>0.049261600250193</v>
      </c>
      <c r="O23" s="741">
        <f>X26</f>
        <v>0.17593425845835</v>
      </c>
      <c r="P23" s="632">
        <f>O23/3.571428</f>
        <v>0.049261600250193</v>
      </c>
      <c r="Q23" s="105" t="s">
        <v>72</v>
      </c>
      <c r="R23" s="106" t="s">
        <v>73</v>
      </c>
      <c r="S23" s="107">
        <v>1</v>
      </c>
      <c r="T23" s="5">
        <f>IF((I23=1),0,IF((3*I23*1)&gt;1,(1-I23)*1,IF((I23=0),0.3,(3*I23*1))))</f>
        <v>0.3</v>
      </c>
      <c r="U23" s="5" t="s">
        <v>31</v>
      </c>
      <c r="V23" s="5">
        <f>(G23/C23)*M23</f>
        <v>0.034166666666667</v>
      </c>
    </row>
    <row r="24" spans="1:466" customHeight="1" ht="39">
      <c r="A24" s="641"/>
      <c r="B24" s="650"/>
      <c r="C24" s="699"/>
      <c r="D24" s="437" t="s">
        <v>74</v>
      </c>
      <c r="E24" s="431">
        <f>($C$23/4)</f>
        <v>0.89285714285714</v>
      </c>
      <c r="F24" s="441" t="s">
        <v>75</v>
      </c>
      <c r="G24" s="417">
        <f>E24/1</f>
        <v>0.89285714285714</v>
      </c>
      <c r="H24" s="547">
        <v>0.927</v>
      </c>
      <c r="I24" s="547">
        <v>0.923</v>
      </c>
      <c r="J24" s="89">
        <f>H24-I24</f>
        <v>0.004</v>
      </c>
      <c r="K24" s="81">
        <v>0.077</v>
      </c>
      <c r="L24" s="90">
        <f>K24+I24</f>
        <v>1</v>
      </c>
      <c r="M24" s="72">
        <f>IF(AND(H24&lt;1,I24=1),(H24-I24)/100,IF(AND(H24&gt;=1,I24=1),1,IF(K24&lt;&gt;0,(J24/K24),"0%")))</f>
        <v>0.051948051948052</v>
      </c>
      <c r="N24" s="745"/>
      <c r="O24" s="638"/>
      <c r="P24" s="640"/>
      <c r="Q24" s="108" t="s">
        <v>76</v>
      </c>
      <c r="R24" s="106" t="s">
        <v>73</v>
      </c>
      <c r="S24" s="109">
        <v>1</v>
      </c>
      <c r="T24" s="613">
        <f>(1-I24)</f>
        <v>0.077</v>
      </c>
      <c r="U24" s="5" t="s">
        <v>31</v>
      </c>
      <c r="V24" s="5">
        <f>(G24/C23)*M24</f>
        <v>0.012987012987013</v>
      </c>
    </row>
    <row r="25" spans="1:466" customHeight="1" ht="56.7">
      <c r="A25" s="641"/>
      <c r="B25" s="650"/>
      <c r="C25" s="699"/>
      <c r="D25" s="437" t="s">
        <v>77</v>
      </c>
      <c r="E25" s="431">
        <f>($C$23/4)</f>
        <v>0.89285714285714</v>
      </c>
      <c r="F25" s="441" t="s">
        <v>78</v>
      </c>
      <c r="G25" s="417">
        <f>E25/1</f>
        <v>0.89285714285714</v>
      </c>
      <c r="H25" s="547">
        <v>0.405</v>
      </c>
      <c r="I25" s="548">
        <v>0.474</v>
      </c>
      <c r="J25" s="89">
        <f>H25-I25</f>
        <v>-0.069</v>
      </c>
      <c r="K25" s="110">
        <v>0.526</v>
      </c>
      <c r="L25" s="90">
        <f>IF((K25+I25)&gt;1,"1",(K25+I25))</f>
        <v>1</v>
      </c>
      <c r="M25" s="72">
        <f>IF(AND(H25&lt;100,I25=1),(H25-I25)/100,IF(AND(H25&gt;=1,I25=1),1,IF(K25&lt;&gt;0,(J25/K25),"0%")))</f>
        <v>-0.13117870722433</v>
      </c>
      <c r="N25" s="745"/>
      <c r="O25" s="638"/>
      <c r="P25" s="640"/>
      <c r="Q25" s="108" t="s">
        <v>79</v>
      </c>
      <c r="R25" s="106" t="s">
        <v>73</v>
      </c>
      <c r="S25" s="111">
        <v>1</v>
      </c>
      <c r="T25" s="5">
        <f>IF((I25&gt;=1),0,(1-I25)*1)</f>
        <v>0.526</v>
      </c>
      <c r="U25" s="5" t="s">
        <v>31</v>
      </c>
      <c r="V25" s="5">
        <f>(G25/C23)*M25</f>
        <v>-0.032794676806084</v>
      </c>
    </row>
    <row r="26" spans="1:466" customHeight="1" ht="36.75">
      <c r="A26" s="641"/>
      <c r="B26" s="742"/>
      <c r="C26" s="743"/>
      <c r="D26" s="438" t="s">
        <v>80</v>
      </c>
      <c r="E26" s="439">
        <f>($C$23/4)</f>
        <v>0.89285714285714</v>
      </c>
      <c r="F26" s="442" t="s">
        <v>81</v>
      </c>
      <c r="G26" s="419">
        <f>E26/1</f>
        <v>0.89285714285714</v>
      </c>
      <c r="H26" s="549">
        <v>0.47</v>
      </c>
      <c r="I26" s="550">
        <v>0.384</v>
      </c>
      <c r="J26" s="95">
        <f>H26-I26</f>
        <v>0.086</v>
      </c>
      <c r="K26" s="96">
        <v>0.616</v>
      </c>
      <c r="L26" s="97">
        <f>K26+I26</f>
        <v>1</v>
      </c>
      <c r="M26" s="59">
        <f>IF(K26&lt;&gt;0,J26/K26,"100%")</f>
        <v>0.13961038961039</v>
      </c>
      <c r="N26" s="746"/>
      <c r="O26" s="639"/>
      <c r="P26" s="633"/>
      <c r="Q26" s="112" t="s">
        <v>39</v>
      </c>
      <c r="R26" s="106" t="s">
        <v>73</v>
      </c>
      <c r="S26" s="113">
        <v>1</v>
      </c>
      <c r="T26" s="5">
        <f>(1-I26)*1</f>
        <v>0.616</v>
      </c>
      <c r="U26" s="5" t="s">
        <v>31</v>
      </c>
      <c r="V26" s="5">
        <f>(G26/C23)*M26</f>
        <v>0.034902597402597</v>
      </c>
      <c r="W26" s="5">
        <f>SUM(V23:V26)</f>
        <v>0.049261600250193</v>
      </c>
      <c r="X26" s="629">
        <f>IF((W26)&gt;=1,3.571428,IF((W26)&lt;=0,0,((W26)*3.571428)))</f>
        <v>0.17593425845835</v>
      </c>
    </row>
    <row r="27" spans="1:466" customHeight="1" ht="20.7">
      <c r="A27" s="22"/>
      <c r="B27" s="774" t="s">
        <v>82</v>
      </c>
      <c r="C27" s="774"/>
      <c r="D27" s="774"/>
      <c r="E27" s="774"/>
      <c r="F27" s="774"/>
      <c r="G27" s="114"/>
      <c r="H27" s="545"/>
      <c r="I27" s="546"/>
      <c r="J27" s="115"/>
      <c r="K27" s="116"/>
      <c r="L27" s="116"/>
      <c r="M27" s="101"/>
      <c r="N27" s="35">
        <f>N28</f>
        <v>0.69443285688519</v>
      </c>
      <c r="O27" s="36">
        <f>O28</f>
        <v>2.4801169491998</v>
      </c>
      <c r="P27" s="37">
        <v>0.7</v>
      </c>
      <c r="Q27" s="100"/>
      <c r="R27" s="117"/>
      <c r="S27" s="117"/>
    </row>
    <row r="28" spans="1:466" customHeight="1" ht="36">
      <c r="A28" s="641">
        <v>5</v>
      </c>
      <c r="B28" s="750" t="s">
        <v>83</v>
      </c>
      <c r="C28" s="708">
        <f>M6</f>
        <v>3.5714285714286</v>
      </c>
      <c r="D28" s="443" t="s">
        <v>84</v>
      </c>
      <c r="E28" s="448">
        <f>$C$28/5</f>
        <v>0.71428571428571</v>
      </c>
      <c r="F28" s="444" t="s">
        <v>85</v>
      </c>
      <c r="G28" s="420">
        <f>E28/1</f>
        <v>0.71428571428571</v>
      </c>
      <c r="H28" s="539">
        <v>0.73</v>
      </c>
      <c r="I28" s="540">
        <v>0.66</v>
      </c>
      <c r="J28" s="80">
        <f>H28-I28</f>
        <v>0.07</v>
      </c>
      <c r="K28" s="81">
        <v>0.102</v>
      </c>
      <c r="L28" s="104">
        <f>K28+I28</f>
        <v>0.762</v>
      </c>
      <c r="M28" s="51">
        <v>0.35</v>
      </c>
      <c r="N28" s="754">
        <f>(((G28/C28)*M28)+((G29/C28)*M29)+ ((G30/C28)*M30)+((G31/C28)*M31)+((G32/C28)*M32)+((G33/C28)*M33)+((G34/C28)*M34)+((G35/C28)*M35)+((G36/C28)*M36))</f>
        <v>0.69443285688519</v>
      </c>
      <c r="O28" s="741">
        <f>X36</f>
        <v>2.4801169491998</v>
      </c>
      <c r="P28" s="725">
        <v>0.7</v>
      </c>
      <c r="Q28" s="118" t="s">
        <v>86</v>
      </c>
      <c r="R28" s="119" t="s">
        <v>87</v>
      </c>
      <c r="S28" s="107">
        <v>0.762</v>
      </c>
      <c r="T28" s="5">
        <f>IF((I28=1),0,IF(((0.3*I28*1)+I28&gt;1),1-I28,(0.3*(1-I28)*1)))</f>
        <v>0.102</v>
      </c>
      <c r="U28" s="5" t="s">
        <v>31</v>
      </c>
      <c r="V28" s="5">
        <f>(G28/C28)*M28</f>
        <v>0.07</v>
      </c>
    </row>
    <row r="29" spans="1:466" customHeight="1" ht="19.95">
      <c r="A29" s="641"/>
      <c r="B29" s="669"/>
      <c r="C29" s="662"/>
      <c r="D29" s="737" t="s">
        <v>88</v>
      </c>
      <c r="E29" s="739">
        <f>C28/5</f>
        <v>0.71428571428571</v>
      </c>
      <c r="F29" s="445" t="s">
        <v>89</v>
      </c>
      <c r="G29" s="417">
        <f>$E$29/3</f>
        <v>0.23809523809524</v>
      </c>
      <c r="H29" s="551">
        <v>452</v>
      </c>
      <c r="I29" s="552">
        <v>593</v>
      </c>
      <c r="J29" s="120">
        <f>I29-H29</f>
        <v>141</v>
      </c>
      <c r="K29" s="121">
        <v>296.5</v>
      </c>
      <c r="L29" s="122">
        <f>I29-K29</f>
        <v>296.5</v>
      </c>
      <c r="M29" s="72">
        <f>IF(AND(ISBLANK(H29)=TRUE,ISBLANK(I29)=TRUE),0,IF(AND(ISBLANK(H29)=TRUE,ISBLANK(I29)=FALSE),0,IF(AND(ISBLANK(I29)=TRUE,ISBLANK(H29)=FALSE),0, IF(AND(H29=0,I29=0),1,IF(AND(H29&gt;0,I29=0),(I29-H29)/100,IF(AND(H29=0,I29&gt;0),1,IF(K29&lt;&gt;0,(J29/K29),0)))))))</f>
        <v>0.47554806070826</v>
      </c>
      <c r="N29" s="755"/>
      <c r="O29" s="638"/>
      <c r="P29" s="726"/>
      <c r="Q29" s="123" t="s">
        <v>90</v>
      </c>
      <c r="R29" s="119" t="s">
        <v>87</v>
      </c>
      <c r="S29" s="107">
        <v>296.5</v>
      </c>
      <c r="T29" s="5">
        <f>IF((I29=0),0,IF((0.5*I29*1)-I29&gt;0,(100-I29),IF((AND(I29=100,H29&lt;100)),100-H29,(0.5*I29*1))))</f>
        <v>296.5</v>
      </c>
      <c r="U29" s="5" t="s">
        <v>31</v>
      </c>
      <c r="V29" s="5">
        <f>(G29/C28)*M29</f>
        <v>0.031703204047218</v>
      </c>
    </row>
    <row r="30" spans="1:466" customHeight="1" ht="19.95">
      <c r="A30" s="641"/>
      <c r="B30" s="669"/>
      <c r="C30" s="662"/>
      <c r="D30" s="738"/>
      <c r="E30" s="740"/>
      <c r="F30" s="445" t="s">
        <v>91</v>
      </c>
      <c r="G30" s="417">
        <f>$E$29/3</f>
        <v>0.23809523809524</v>
      </c>
      <c r="H30" s="547">
        <v>21</v>
      </c>
      <c r="I30" s="548">
        <v>20</v>
      </c>
      <c r="J30" s="124">
        <f>I30-H30</f>
        <v>-1</v>
      </c>
      <c r="K30" s="125">
        <v>10</v>
      </c>
      <c r="L30" s="126">
        <f>I30-K30</f>
        <v>10</v>
      </c>
      <c r="M30" s="72">
        <f>IF(AND(ISBLANK(H30)=TRUE,ISBLANK(I30)=TRUE),0,IF(AND(ISBLANK(H30)=TRUE,ISBLANK(I30)=FALSE),0,IF(AND(ISBLANK(I30)=TRUE,ISBLANK(H30)=FALSE),0, IF(AND(H30=0,I30=0),1,IF(AND(H30&gt;0,I30=0),(I30-H30)/100,IF(AND(H30=0,I30&gt;0),1,IF(K30&lt;&gt;0,(J30/K30),0)))))))</f>
        <v>-0.1</v>
      </c>
      <c r="N30" s="755"/>
      <c r="O30" s="638"/>
      <c r="P30" s="726"/>
      <c r="Q30" s="123" t="s">
        <v>92</v>
      </c>
      <c r="R30" s="119" t="s">
        <v>47</v>
      </c>
      <c r="S30" s="107">
        <v>10</v>
      </c>
      <c r="T30" s="5">
        <f>IF((I30=0),0,IF((0.5*I30*1)-I30&gt;0,(100-I30),IF((AND(I30=100,H30&lt;100)),100-H30,(0.5*I30*1))))</f>
        <v>10</v>
      </c>
      <c r="U30" s="5" t="s">
        <v>31</v>
      </c>
      <c r="V30" s="5">
        <f>(G30/C28)*M30</f>
        <v>-0.0066666666666667</v>
      </c>
    </row>
    <row r="31" spans="1:466" customHeight="1" ht="19.95">
      <c r="A31" s="641"/>
      <c r="B31" s="669"/>
      <c r="C31" s="662"/>
      <c r="D31" s="738"/>
      <c r="E31" s="740"/>
      <c r="F31" s="445" t="s">
        <v>93</v>
      </c>
      <c r="G31" s="417">
        <f>$E$29/3</f>
        <v>0.23809523809524</v>
      </c>
      <c r="H31" s="547">
        <v>41</v>
      </c>
      <c r="I31" s="548">
        <v>67</v>
      </c>
      <c r="J31" s="124">
        <f>I31-H31</f>
        <v>26</v>
      </c>
      <c r="K31" s="125">
        <v>33.5</v>
      </c>
      <c r="L31" s="126">
        <f>I31-K31</f>
        <v>33.5</v>
      </c>
      <c r="M31" s="72">
        <f>IF(AND(ISBLANK(H31)=TRUE,ISBLANK(I31)=TRUE),0,IF(AND(ISBLANK(H31)=TRUE,ISBLANK(I31)=FALSE),0,IF(AND(ISBLANK(I31)=TRUE,ISBLANK(H31)=FALSE),0, IF(AND(H31=0,I31=0),1,IF(AND(H31&gt;0,I31=0),(I31-H31)/100,IF(AND(H31=0,I31&gt;0),1,IF(K31&lt;&gt;0,(J31/K31),0)))))))</f>
        <v>0.77611940298507</v>
      </c>
      <c r="N31" s="755"/>
      <c r="O31" s="638"/>
      <c r="P31" s="726"/>
      <c r="Q31" s="123" t="s">
        <v>94</v>
      </c>
      <c r="R31" s="107" t="s">
        <v>95</v>
      </c>
      <c r="S31" s="5">
        <v>33.5</v>
      </c>
      <c r="T31" s="5">
        <f>IF((I31=0),0,IF((0.5*I31*1)-I31&gt;0,(100-I31),IF((AND(I31=100,H31&lt;100)),100-H31,(0.5*I31*1))))</f>
        <v>33.5</v>
      </c>
      <c r="U31" s="5" t="s">
        <v>31</v>
      </c>
      <c r="V31" s="5">
        <f>(G31/C28)*M31</f>
        <v>0.051741293532338</v>
      </c>
    </row>
    <row r="32" spans="1:466" customHeight="1" ht="30.75">
      <c r="A32" s="47"/>
      <c r="B32" s="669"/>
      <c r="C32" s="662"/>
      <c r="D32" s="737" t="s">
        <v>96</v>
      </c>
      <c r="E32" s="739">
        <f>C28/5</f>
        <v>0.71428571428571</v>
      </c>
      <c r="F32" s="445" t="s">
        <v>97</v>
      </c>
      <c r="G32" s="417">
        <f>$E$32/3</f>
        <v>0.23809523809524</v>
      </c>
      <c r="H32" s="552">
        <v>1.36</v>
      </c>
      <c r="I32" s="552">
        <v>2.38</v>
      </c>
      <c r="J32" s="120">
        <f>I32-H32</f>
        <v>1.02</v>
      </c>
      <c r="K32" s="121">
        <v>1.904</v>
      </c>
      <c r="L32" s="122">
        <f>I32-K32</f>
        <v>0.476</v>
      </c>
      <c r="M32" s="72">
        <f>IF(AND(ISBLANK(H32)=TRUE,ISBLANK(I32)=TRUE),0,IF(AND(ISBLANK(H32)=TRUE,ISBLANK(I32)=FALSE),0,IF(AND(ISBLANK(I32)=TRUE,ISBLANK(H32)=FALSE),0, IF(AND(H32=0,I32=0),1,IF(AND(H32&gt;0,I32=0),(I32-H32)/100,IF(AND(H32=0,I32&gt;0),1,IF(K32&lt;&gt;0,(J32/K32),0)))))))</f>
        <v>0.53571428571429</v>
      </c>
      <c r="N32" s="640"/>
      <c r="O32" s="638"/>
      <c r="P32" s="726"/>
      <c r="Q32" s="123" t="s">
        <v>98</v>
      </c>
      <c r="R32" s="119" t="s">
        <v>99</v>
      </c>
      <c r="S32" s="107">
        <v>0.476</v>
      </c>
      <c r="T32" s="5">
        <f>IF((I32=0),0,IF((0.8*I32*1)-I32&gt;0,(100-I32),IF((AND(I32=100,H32&lt;100)),100-H32,(0.8*I32*1))))</f>
        <v>1.904</v>
      </c>
      <c r="U32" s="5" t="s">
        <v>31</v>
      </c>
      <c r="V32" s="5">
        <f>(G32/C28)*M32</f>
        <v>0.035714285714286</v>
      </c>
    </row>
    <row r="33" spans="1:466" customHeight="1" ht="20.7">
      <c r="A33" s="47"/>
      <c r="B33" s="669"/>
      <c r="C33" s="662"/>
      <c r="D33" s="738"/>
      <c r="E33" s="740"/>
      <c r="F33" s="612" t="s">
        <v>100</v>
      </c>
      <c r="G33" s="417">
        <f>$E$32/3</f>
        <v>0.23809523809524</v>
      </c>
      <c r="H33" s="551">
        <v>363</v>
      </c>
      <c r="I33" s="552">
        <v>1349</v>
      </c>
      <c r="J33" s="120">
        <f>I33-H33</f>
        <v>986</v>
      </c>
      <c r="K33" s="121">
        <v>1079.2</v>
      </c>
      <c r="L33" s="122">
        <f>I33-K33</f>
        <v>269.8</v>
      </c>
      <c r="M33" s="72">
        <f>IF(AND(ISBLANK(H33)=TRUE,ISBLANK(I33)=TRUE),0,IF(AND(ISBLANK(H33)=TRUE,ISBLANK(I33)=FALSE),0,IF(AND(ISBLANK(I33)=TRUE,ISBLANK(H33)=FALSE),0, IF(AND(H33=0,I33=0),1,IF(AND(H33&gt;0,I33=0),(I33-H33)/100,IF(AND(H33=0,I33&gt;0),1,IF(K33&lt;&gt;0,(J33/K33),0)))))))</f>
        <v>0.91363973313566</v>
      </c>
      <c r="N33" s="640"/>
      <c r="O33" s="638"/>
      <c r="P33" s="726"/>
      <c r="Q33" s="123" t="s">
        <v>101</v>
      </c>
      <c r="R33" s="119" t="s">
        <v>87</v>
      </c>
      <c r="S33" s="107">
        <v>269.8</v>
      </c>
      <c r="T33" s="5">
        <f>IF((I33=0),0,IF((0.8*I33*1)-I33&gt;0,(100-I33),IF((AND(I33=100,H33&lt;100)),100-H33,(0.8*I33*1))))</f>
        <v>1079.2</v>
      </c>
      <c r="U33" s="5" t="s">
        <v>31</v>
      </c>
      <c r="V33" s="5">
        <f>(G33/C28)*M33</f>
        <v>0.060909315542377</v>
      </c>
    </row>
    <row r="34" spans="1:466" customHeight="1" ht="20.7">
      <c r="A34" s="47"/>
      <c r="B34" s="751"/>
      <c r="C34" s="753"/>
      <c r="D34" s="738"/>
      <c r="E34" s="740"/>
      <c r="F34" s="445" t="s">
        <v>102</v>
      </c>
      <c r="G34" s="417">
        <f>$E$32/3</f>
        <v>0.23809523809524</v>
      </c>
      <c r="H34" s="551">
        <v>0.27</v>
      </c>
      <c r="I34" s="552">
        <v>1.33</v>
      </c>
      <c r="J34" s="120">
        <f>I34-H34</f>
        <v>1.06</v>
      </c>
      <c r="K34" s="121">
        <v>1.064</v>
      </c>
      <c r="L34" s="122">
        <f>I34-K34</f>
        <v>0.266</v>
      </c>
      <c r="M34" s="72">
        <f>IF(AND(ISBLANK(H34)=TRUE,ISBLANK(I34)=TRUE),0,IF(AND(ISBLANK(H34)=TRUE,ISBLANK(I34)=FALSE),0,IF(AND(ISBLANK(I34)=TRUE,ISBLANK(H34)=FALSE),0, IF(AND(H34=0,I34=0),1,IF(AND(H34&gt;0,I34=0),(I34-H34)/100,IF(AND(H34=0,I34&gt;0),1,IF(K34&lt;&gt;0,(J34/K34),0)))))))</f>
        <v>0.99624060150376</v>
      </c>
      <c r="N34" s="640"/>
      <c r="O34" s="638"/>
      <c r="P34" s="726"/>
      <c r="Q34" s="123" t="s">
        <v>103</v>
      </c>
      <c r="R34" s="119" t="s">
        <v>87</v>
      </c>
      <c r="S34" s="107">
        <v>0.266</v>
      </c>
      <c r="T34" s="5">
        <f>IF((I34=0),0,IF((0.8*I34*1)-I34&gt;0,(100-I34),IF((AND(I34=100,H34&lt;100)),100-H34,(0.8*I34*1))))</f>
        <v>1.064</v>
      </c>
      <c r="U34" s="5" t="s">
        <v>31</v>
      </c>
      <c r="V34" s="5">
        <f>(G34/C28)*M34</f>
        <v>0.066416040100251</v>
      </c>
    </row>
    <row r="35" spans="1:466" customHeight="1" ht="34.95">
      <c r="A35" s="47"/>
      <c r="B35" s="751"/>
      <c r="C35" s="753"/>
      <c r="D35" s="443" t="s">
        <v>104</v>
      </c>
      <c r="E35" s="449">
        <f>$C$28/5</f>
        <v>0.71428571428571</v>
      </c>
      <c r="F35" s="446" t="s">
        <v>105</v>
      </c>
      <c r="G35" s="417">
        <f>E35/1</f>
        <v>0.71428571428571</v>
      </c>
      <c r="H35" s="549">
        <v>0.96</v>
      </c>
      <c r="I35" s="550">
        <v>0.48</v>
      </c>
      <c r="J35" s="89">
        <f>H35-I35</f>
        <v>0.48</v>
      </c>
      <c r="K35" s="110">
        <v>0.52</v>
      </c>
      <c r="L35" s="90">
        <f>K35+I35</f>
        <v>1</v>
      </c>
      <c r="M35" s="72">
        <f>IF(AND(ISBLANK(H35)=TRUE,ISBLANK(I35)=TRUE),0,IF(AND(ISBLANK(H35)=TRUE,ISBLANK(I35)=FALSE),0,IF(AND(ISBLANK(I35)=TRUE,ISBLANK(H35)=FALSE),0,IF(AND(H35=1,I35=1),1,IF(AND(H35&lt;1,I35=1),(H35-I35)/100,IF(AND(H35=1,I35&lt;1),1,IF(AND(K35&lt;&gt;0,(J35/K35)&lt;=1),(J35/K35),1)))))))</f>
        <v>0.92307692307692</v>
      </c>
      <c r="N35" s="640"/>
      <c r="O35" s="638"/>
      <c r="P35" s="726"/>
      <c r="Q35" s="123" t="s">
        <v>39</v>
      </c>
      <c r="R35" s="119" t="s">
        <v>87</v>
      </c>
      <c r="S35" s="107">
        <v>1</v>
      </c>
      <c r="T35" s="613">
        <f>(1-I35)</f>
        <v>0.52</v>
      </c>
      <c r="U35" s="5" t="s">
        <v>31</v>
      </c>
      <c r="V35" s="5">
        <f>(G35/C28)*M35</f>
        <v>0.18461538461538</v>
      </c>
    </row>
    <row r="36" spans="1:466" customHeight="1" ht="69.45">
      <c r="A36" s="47"/>
      <c r="B36" s="752"/>
      <c r="C36" s="710"/>
      <c r="D36" s="443" t="s">
        <v>106</v>
      </c>
      <c r="E36" s="450">
        <f>$C$28/5</f>
        <v>0.71428571428571</v>
      </c>
      <c r="F36" s="447" t="s">
        <v>107</v>
      </c>
      <c r="G36" s="451">
        <f>E36/1</f>
        <v>0.71428571428571</v>
      </c>
      <c r="H36" s="537">
        <v>0.05</v>
      </c>
      <c r="I36" s="550">
        <v>0.058</v>
      </c>
      <c r="J36" s="127">
        <f>IF(I36=H36,(0.05-H36),I36-H36)</f>
        <v>0.008</v>
      </c>
      <c r="K36" s="128">
        <v>0.008</v>
      </c>
      <c r="L36" s="129">
        <f>I36-K36</f>
        <v>0.05</v>
      </c>
      <c r="M36" s="130">
        <f>IF(AND(ISBLANK(H36)=TRUE, ISBLANK(I36)=TRUE),0, IF(I36&lt;=0.05,((0.05-H36)/0.05),(J36/K36)))</f>
        <v>1</v>
      </c>
      <c r="N36" s="639"/>
      <c r="O36" s="639"/>
      <c r="P36" s="710"/>
      <c r="Q36" s="131" t="s">
        <v>108</v>
      </c>
      <c r="R36" s="119" t="s">
        <v>47</v>
      </c>
      <c r="S36" s="107">
        <v>0.05</v>
      </c>
      <c r="T36" s="5">
        <f>IF(I36&lt;=0.05,0,(I36-0.05)*(10/10))</f>
        <v>0.008</v>
      </c>
      <c r="U36" s="5" t="s">
        <v>31</v>
      </c>
      <c r="V36" s="5">
        <f>(G36/C28)*M36</f>
        <v>0.2</v>
      </c>
      <c r="W36" s="5">
        <f>SUM(V28:V36)</f>
        <v>0.69443285688519</v>
      </c>
      <c r="X36" s="629">
        <f>IF((W36)&gt;=1,3.571428,IF((W36)&lt;=0,0,((W36)*3.571428)))</f>
        <v>2.4801169491998</v>
      </c>
    </row>
    <row r="37" spans="1:466" customHeight="1" ht="20.7">
      <c r="A37" s="22"/>
      <c r="B37" s="775" t="s">
        <v>109</v>
      </c>
      <c r="C37" s="775"/>
      <c r="D37" s="775"/>
      <c r="E37" s="775"/>
      <c r="F37" s="775"/>
      <c r="G37" s="267"/>
      <c r="H37" s="553"/>
      <c r="I37" s="554"/>
      <c r="J37" s="132"/>
      <c r="K37" s="133"/>
      <c r="L37" s="134"/>
      <c r="M37" s="135"/>
      <c r="N37" s="35">
        <f>(N38+N39+N40+N41)/4</f>
        <v>4.4400297619048</v>
      </c>
      <c r="O37" s="36">
        <f>(O38+O39+O40+O41)</f>
        <v>6.9557812</v>
      </c>
      <c r="P37" s="37">
        <f>O37/14.285712</f>
        <v>0.48690476190476</v>
      </c>
      <c r="Q37" s="100"/>
      <c r="R37" s="136"/>
      <c r="S37" s="136"/>
    </row>
    <row r="38" spans="1:466" customHeight="1" ht="33.75">
      <c r="A38" s="47">
        <v>6</v>
      </c>
      <c r="B38" s="452" t="s">
        <v>110</v>
      </c>
      <c r="C38" s="454">
        <f>$M$6</f>
        <v>3.5714285714286</v>
      </c>
      <c r="D38" s="453" t="s">
        <v>111</v>
      </c>
      <c r="E38" s="455">
        <f>C38/1</f>
        <v>3.5714285714286</v>
      </c>
      <c r="F38" s="452" t="s">
        <v>112</v>
      </c>
      <c r="G38" s="456">
        <f>E38/1</f>
        <v>3.5714285714286</v>
      </c>
      <c r="H38" s="555">
        <v>0.047</v>
      </c>
      <c r="I38" s="556">
        <v>0.039</v>
      </c>
      <c r="J38" s="137">
        <f>IF(H38&gt;0.07,(H38-0.07),(H38-I38))</f>
        <v>0.008</v>
      </c>
      <c r="K38" s="138">
        <v>0.023</v>
      </c>
      <c r="L38" s="139">
        <f>0.07</f>
        <v>0.07</v>
      </c>
      <c r="M38" s="140">
        <f>IF(AND(ISBLANK(H38)=TRUE, ISBLANK(I38)=TRUE),0,IF(K38&gt;0,J38/0.07,IF(K38=0,(1+((H38-0.07)/I38)))))</f>
        <v>0.11428571428571</v>
      </c>
      <c r="N38" s="141">
        <f>((G38/C38)*M38)</f>
        <v>0.11428571428571</v>
      </c>
      <c r="O38" s="142">
        <f>IF(((G38/C38)*M38)&gt;=1,3.571428,IF(((G38/C38)*M38)&lt;=0,0,((G38/C38)*M38)*3.571428))</f>
        <v>0.4081632</v>
      </c>
      <c r="P38" s="37">
        <f>O38/3.571428</f>
        <v>0.11428571428571</v>
      </c>
      <c r="Q38" s="143" t="s">
        <v>29</v>
      </c>
      <c r="R38" s="144" t="s">
        <v>30</v>
      </c>
      <c r="S38" s="144">
        <v>0.062</v>
      </c>
      <c r="T38" s="5">
        <f>IF((0.07-H38&gt;=0),(0.07-H38),0)</f>
        <v>0.023</v>
      </c>
      <c r="U38" s="5" t="s">
        <v>31</v>
      </c>
    </row>
    <row r="39" spans="1:466" customHeight="1" ht="51">
      <c r="A39" s="47">
        <v>7</v>
      </c>
      <c r="B39" s="452" t="s">
        <v>113</v>
      </c>
      <c r="C39" s="454">
        <f>$M$6</f>
        <v>3.5714285714286</v>
      </c>
      <c r="D39" s="452" t="s">
        <v>114</v>
      </c>
      <c r="E39" s="455">
        <f>C39/1</f>
        <v>3.5714285714286</v>
      </c>
      <c r="F39" s="452" t="s">
        <v>115</v>
      </c>
      <c r="G39" s="456">
        <f>E39/1</f>
        <v>3.5714285714286</v>
      </c>
      <c r="H39" s="557">
        <v>0</v>
      </c>
      <c r="I39" s="558">
        <v>0</v>
      </c>
      <c r="J39" s="145">
        <f>IF(H39&gt;0.01,(H39-0.01),(H39-I39))</f>
        <v>0</v>
      </c>
      <c r="K39" s="146">
        <v>0.01</v>
      </c>
      <c r="L39" s="147">
        <f>(K39+I39)</f>
        <v>0.01</v>
      </c>
      <c r="M39" s="140">
        <f>IF(K39&gt;0,J39/K39,H39/L39)</f>
        <v>0</v>
      </c>
      <c r="N39" s="141">
        <f>((G39/C39)*M39)</f>
        <v>0</v>
      </c>
      <c r="O39" s="142">
        <f>IF(((G39/C39)*M39)&gt;=1,3.571428,IF(((G39/C39)*M39)&lt;=0,0,((G39/C39)*M39)*3.571428))</f>
        <v>0</v>
      </c>
      <c r="P39" s="37">
        <f>O39/3.571428</f>
        <v>0</v>
      </c>
      <c r="Q39" s="143" t="s">
        <v>116</v>
      </c>
      <c r="R39" s="144" t="s">
        <v>30</v>
      </c>
      <c r="S39" s="144">
        <v>0.01</v>
      </c>
      <c r="T39" s="5">
        <f>IF((I39&gt;=0.01),0,((0.01-I39)*1))</f>
        <v>0.01</v>
      </c>
      <c r="U39" s="5" t="s">
        <v>31</v>
      </c>
    </row>
    <row r="40" spans="1:466" customHeight="1" ht="40.95">
      <c r="A40" s="47">
        <v>8</v>
      </c>
      <c r="B40" s="452" t="s">
        <v>117</v>
      </c>
      <c r="C40" s="454">
        <f>$M$6</f>
        <v>3.5714285714286</v>
      </c>
      <c r="D40" s="452" t="s">
        <v>118</v>
      </c>
      <c r="E40" s="455">
        <f>C40/1</f>
        <v>3.5714285714286</v>
      </c>
      <c r="F40" s="452" t="s">
        <v>119</v>
      </c>
      <c r="G40" s="456">
        <f>E40/1</f>
        <v>3.5714285714286</v>
      </c>
      <c r="H40" s="557">
        <v>0.301</v>
      </c>
      <c r="I40" s="558">
        <v>0.032</v>
      </c>
      <c r="J40" s="137">
        <f>H40-I40</f>
        <v>0.269</v>
      </c>
      <c r="K40" s="148">
        <v>0.016</v>
      </c>
      <c r="L40" s="139">
        <f>I40+K40</f>
        <v>0.048</v>
      </c>
      <c r="M40" s="140">
        <f>IF(K40&lt;&gt;0,J40/K40,"0%")</f>
        <v>16.8125</v>
      </c>
      <c r="N40" s="141">
        <f>((G40/C40)*M40)</f>
        <v>16.8125</v>
      </c>
      <c r="O40" s="142">
        <f>IF(((G40/C40)*M40)&gt;=1,3.571428,IF(((G40/C40)*M40)&lt;=0,0,((G40/C40)*M40)*3.571428))</f>
        <v>3.571428</v>
      </c>
      <c r="P40" s="37">
        <f>O40/3.571428</f>
        <v>1</v>
      </c>
      <c r="Q40" s="143" t="s">
        <v>120</v>
      </c>
      <c r="R40" s="144" t="s">
        <v>30</v>
      </c>
      <c r="S40" s="149">
        <v>0.048</v>
      </c>
      <c r="T40" s="5">
        <f>IF((I40&gt;=1),0,IF((0.5*I40*1)+I40&gt;1,(1-I40),(0.5*I40*1)))</f>
        <v>0.016</v>
      </c>
      <c r="U40" s="5" t="s">
        <v>31</v>
      </c>
    </row>
    <row r="41" spans="1:466" customHeight="1" ht="32.7">
      <c r="A41" s="47">
        <v>9</v>
      </c>
      <c r="B41" s="452" t="s">
        <v>121</v>
      </c>
      <c r="C41" s="454">
        <f>$M$6</f>
        <v>3.5714285714286</v>
      </c>
      <c r="D41" s="452" t="s">
        <v>122</v>
      </c>
      <c r="E41" s="455">
        <f>C41/1</f>
        <v>3.5714285714286</v>
      </c>
      <c r="F41" s="452" t="s">
        <v>123</v>
      </c>
      <c r="G41" s="456">
        <f>E41/1</f>
        <v>3.5714285714286</v>
      </c>
      <c r="H41" s="555">
        <v>0.011</v>
      </c>
      <c r="I41" s="556">
        <v>0.006</v>
      </c>
      <c r="J41" s="150">
        <f>H41-I41</f>
        <v>0.005</v>
      </c>
      <c r="K41" s="151">
        <v>0.006</v>
      </c>
      <c r="L41" s="152">
        <f>I41+K41</f>
        <v>0.012</v>
      </c>
      <c r="M41" s="140">
        <f>IF(K41&lt;&gt;0,J41/K41,"0%")</f>
        <v>0.83333333333333</v>
      </c>
      <c r="N41" s="141">
        <f>((G41/C41)*M41)</f>
        <v>0.83333333333333</v>
      </c>
      <c r="O41" s="142">
        <f>IF(((G41/C41)*M41)&gt;=1,3.571428,IF(((G41/C41)*M41)&lt;=0,0,((G41/C41)*M41)*3.571428))</f>
        <v>2.97619</v>
      </c>
      <c r="P41" s="37">
        <f>O41/3.571428</f>
        <v>0.83333333333333</v>
      </c>
      <c r="Q41" s="153" t="s">
        <v>124</v>
      </c>
      <c r="R41" s="144" t="s">
        <v>30</v>
      </c>
      <c r="S41" s="154">
        <v>0.012</v>
      </c>
      <c r="T41" s="5">
        <f>IF((I41&gt;=1),0,IF((1*I41*1)+I41&gt;1,(1-I41),(1*I41*1)))</f>
        <v>0.006</v>
      </c>
      <c r="U41" s="5" t="s">
        <v>31</v>
      </c>
    </row>
    <row r="42" spans="1:466" customHeight="1" ht="30.75">
      <c r="A42" s="22"/>
      <c r="B42" s="776" t="s">
        <v>125</v>
      </c>
      <c r="C42" s="776"/>
      <c r="D42" s="776"/>
      <c r="E42" s="776"/>
      <c r="F42" s="776"/>
      <c r="G42" s="499"/>
      <c r="H42" s="545"/>
      <c r="I42" s="546"/>
      <c r="J42" s="155"/>
      <c r="K42" s="156"/>
      <c r="L42" s="156"/>
      <c r="M42" s="157"/>
      <c r="N42" s="35">
        <f>N43</f>
        <v>2.278729225473</v>
      </c>
      <c r="O42" s="36">
        <f>O43</f>
        <v>3.571428</v>
      </c>
      <c r="P42" s="37">
        <f>O42/3.571428</f>
        <v>1</v>
      </c>
      <c r="Q42" s="158"/>
      <c r="R42" s="159"/>
      <c r="S42" s="159"/>
    </row>
    <row r="43" spans="1:466" customHeight="1" ht="25.95">
      <c r="A43" s="641">
        <v>10</v>
      </c>
      <c r="B43" s="649" t="s">
        <v>126</v>
      </c>
      <c r="C43" s="679">
        <f>M6</f>
        <v>3.5714285714286</v>
      </c>
      <c r="D43" s="732" t="s">
        <v>127</v>
      </c>
      <c r="E43" s="430">
        <f>$C$43/5</f>
        <v>0.71428571428571</v>
      </c>
      <c r="F43" s="608" t="s">
        <v>128</v>
      </c>
      <c r="G43" s="458">
        <f>E43/1</f>
        <v>0.71428571428571</v>
      </c>
      <c r="H43" s="551">
        <v>91390</v>
      </c>
      <c r="I43" s="551">
        <v>33460</v>
      </c>
      <c r="J43" s="160">
        <f>H43-I43</f>
        <v>57930</v>
      </c>
      <c r="K43" s="161">
        <v>33460</v>
      </c>
      <c r="L43" s="162">
        <f>I43+K43</f>
        <v>66920</v>
      </c>
      <c r="M43" s="51">
        <f>IF(K43&lt;&gt;0,J43/K43,"0%")</f>
        <v>1.731320980275</v>
      </c>
      <c r="N43" s="735">
        <f>(((G43/C43)*M43)+((G44/C43)*M44)+((G45/C43)*M45)+((G46/C43)*M46)+((G47/C43)*M47))</f>
        <v>2.278729225473</v>
      </c>
      <c r="O43" s="637">
        <f>X47</f>
        <v>3.571428</v>
      </c>
      <c r="P43" s="632">
        <f>O43/3.571428</f>
        <v>1</v>
      </c>
      <c r="Q43" s="720" t="s">
        <v>129</v>
      </c>
      <c r="R43" s="285" t="s">
        <v>130</v>
      </c>
      <c r="S43" s="67">
        <v>66920</v>
      </c>
      <c r="T43" s="5">
        <f>IF((I43&lt;0),((I43*0.625)-I43),((I43)*1))</f>
        <v>33460</v>
      </c>
      <c r="U43" s="5" t="s">
        <v>31</v>
      </c>
      <c r="V43" s="5">
        <f>(G43/C43)*M43</f>
        <v>0.34626419605499</v>
      </c>
    </row>
    <row r="44" spans="1:466" customHeight="1" ht="25.95">
      <c r="A44" s="641"/>
      <c r="B44" s="730"/>
      <c r="C44" s="731"/>
      <c r="D44" s="733"/>
      <c r="E44" s="431">
        <f>$C$43/5</f>
        <v>0.71428571428571</v>
      </c>
      <c r="F44" s="609" t="s">
        <v>131</v>
      </c>
      <c r="G44" s="459">
        <f>E44/1</f>
        <v>0.71428571428571</v>
      </c>
      <c r="H44" s="547">
        <v>980</v>
      </c>
      <c r="I44" s="547">
        <v>87</v>
      </c>
      <c r="J44" s="164">
        <f>H44-I44</f>
        <v>893</v>
      </c>
      <c r="K44" s="165">
        <v>87</v>
      </c>
      <c r="L44" s="166">
        <f>I44+K44</f>
        <v>174</v>
      </c>
      <c r="M44" s="72">
        <f>IF(K44&lt;&gt;0,J44/K44,"0%")</f>
        <v>10.264367816092</v>
      </c>
      <c r="N44" s="736"/>
      <c r="O44" s="638"/>
      <c r="P44" s="707"/>
      <c r="Q44" s="692"/>
      <c r="R44" s="285" t="s">
        <v>132</v>
      </c>
      <c r="S44" s="67">
        <v>174</v>
      </c>
      <c r="T44" s="5">
        <f>IF((I44&lt;0),((I44*0.625)-I44),((I44)*1))</f>
        <v>87</v>
      </c>
      <c r="U44" s="5" t="s">
        <v>31</v>
      </c>
      <c r="V44" s="5">
        <f>(G44/C43)*M44</f>
        <v>2.0528735632184</v>
      </c>
    </row>
    <row r="45" spans="1:466" customHeight="1" ht="25.95">
      <c r="A45" s="641"/>
      <c r="B45" s="730"/>
      <c r="C45" s="731"/>
      <c r="D45" s="733"/>
      <c r="E45" s="431">
        <f>$C$43/5</f>
        <v>0.71428571428571</v>
      </c>
      <c r="F45" s="609" t="s">
        <v>133</v>
      </c>
      <c r="G45" s="459">
        <f>E45/1</f>
        <v>0.71428571428571</v>
      </c>
      <c r="H45" s="547">
        <v>96137</v>
      </c>
      <c r="I45" s="547">
        <v>91211</v>
      </c>
      <c r="J45" s="164">
        <f>H45-I45</f>
        <v>4926</v>
      </c>
      <c r="K45" s="165">
        <v>91211</v>
      </c>
      <c r="L45" s="166">
        <f>I45+K45</f>
        <v>182422</v>
      </c>
      <c r="M45" s="72">
        <f>IF(K45&lt;&gt;0,J45/K45,"0%")</f>
        <v>0.05400664393549</v>
      </c>
      <c r="N45" s="736"/>
      <c r="O45" s="638"/>
      <c r="P45" s="707"/>
      <c r="Q45" s="692"/>
      <c r="R45" s="285" t="s">
        <v>134</v>
      </c>
      <c r="S45" s="67">
        <v>182422</v>
      </c>
      <c r="T45" s="5">
        <f>IF((I45&lt;0),((I45*0.625)-I45),((I45)*1))</f>
        <v>91211</v>
      </c>
      <c r="U45" s="5" t="s">
        <v>31</v>
      </c>
      <c r="V45" s="5">
        <f>(G45/C43)*M45</f>
        <v>0.010801328787098</v>
      </c>
    </row>
    <row r="46" spans="1:466" customHeight="1" ht="25.95">
      <c r="A46" s="641"/>
      <c r="B46" s="730"/>
      <c r="C46" s="731"/>
      <c r="D46" s="733"/>
      <c r="E46" s="431">
        <f>$C$43/5</f>
        <v>0.71428571428571</v>
      </c>
      <c r="F46" s="609" t="s">
        <v>135</v>
      </c>
      <c r="G46" s="459">
        <f>E46/1</f>
        <v>0.71428571428571</v>
      </c>
      <c r="H46" s="552">
        <v>4871</v>
      </c>
      <c r="I46" s="552">
        <v>13200</v>
      </c>
      <c r="J46" s="164">
        <f>H46-I46</f>
        <v>-8329</v>
      </c>
      <c r="K46" s="165">
        <v>13200</v>
      </c>
      <c r="L46" s="166">
        <f>I46+K46</f>
        <v>26400</v>
      </c>
      <c r="M46" s="72">
        <f>IF(K46&lt;&gt;0,J46/K46,"0%")</f>
        <v>-0.63098484848485</v>
      </c>
      <c r="N46" s="736"/>
      <c r="O46" s="638"/>
      <c r="P46" s="707"/>
      <c r="Q46" s="692"/>
      <c r="R46" s="285" t="s">
        <v>132</v>
      </c>
      <c r="S46" s="67">
        <v>26400</v>
      </c>
      <c r="T46" s="5">
        <f>IF((I46&lt;0),((I46*0.625)-I46),((I46)*1))</f>
        <v>13200</v>
      </c>
      <c r="U46" s="5" t="s">
        <v>31</v>
      </c>
      <c r="V46" s="5">
        <f>(G46/C43)*M46</f>
        <v>-0.12619696969697</v>
      </c>
    </row>
    <row r="47" spans="1:466" customHeight="1" ht="25.95">
      <c r="A47" s="641"/>
      <c r="B47" s="730"/>
      <c r="C47" s="731"/>
      <c r="D47" s="734"/>
      <c r="E47" s="432">
        <f>$C$43/5</f>
        <v>0.71428571428571</v>
      </c>
      <c r="F47" s="610" t="s">
        <v>136</v>
      </c>
      <c r="G47" s="460">
        <f>E47/1</f>
        <v>0.71428571428571</v>
      </c>
      <c r="H47" s="551">
        <v>5690260</v>
      </c>
      <c r="I47" s="551">
        <v>5836550</v>
      </c>
      <c r="J47" s="167">
        <f>H47-I47</f>
        <v>-146290</v>
      </c>
      <c r="K47" s="165">
        <v>5836550</v>
      </c>
      <c r="L47" s="168">
        <f>I47+K47</f>
        <v>11673100</v>
      </c>
      <c r="M47" s="59">
        <f>IF(K47&lt;&gt;0,J47/K47,"0%")</f>
        <v>-0.025064464452459</v>
      </c>
      <c r="N47" s="736"/>
      <c r="O47" s="639"/>
      <c r="P47" s="707"/>
      <c r="Q47" s="686"/>
      <c r="R47" s="285" t="s">
        <v>137</v>
      </c>
      <c r="S47" s="67">
        <v>11673100</v>
      </c>
      <c r="T47" s="5">
        <f>IF((I47&lt;0),((I47*0.625)-I47),((I47)*1))</f>
        <v>5836550</v>
      </c>
      <c r="U47" s="5" t="s">
        <v>31</v>
      </c>
      <c r="V47" s="5">
        <f>(G47/C43)*M47</f>
        <v>-0.0050128928904918</v>
      </c>
      <c r="W47" s="5">
        <f>SUM(V43:V47)</f>
        <v>2.278729225473</v>
      </c>
      <c r="X47" s="629">
        <f>IF((W47)&gt;=1,3.571428,IF((W47)&lt;=0,0,((W47)*3.571428)))</f>
        <v>3.571428</v>
      </c>
    </row>
    <row r="48" spans="1:466" customHeight="1" ht="20.7">
      <c r="A48" s="22"/>
      <c r="B48" s="773" t="s">
        <v>138</v>
      </c>
      <c r="C48" s="773"/>
      <c r="D48" s="773"/>
      <c r="E48" s="773"/>
      <c r="F48" s="773"/>
      <c r="G48" s="158"/>
      <c r="H48" s="559"/>
      <c r="I48" s="560"/>
      <c r="J48" s="169"/>
      <c r="K48" s="170"/>
      <c r="L48" s="170"/>
      <c r="M48" s="171"/>
      <c r="N48" s="35" t="str">
        <f>N49</f>
        <v>0</v>
      </c>
      <c r="O48" s="36">
        <f>O49</f>
        <v>0</v>
      </c>
      <c r="P48" s="37">
        <f>O48/3.571428</f>
        <v>0</v>
      </c>
      <c r="Q48" s="172"/>
      <c r="R48" s="173"/>
      <c r="S48" s="173"/>
    </row>
    <row r="49" spans="1:466" customHeight="1" ht="34.8">
      <c r="A49" s="641">
        <v>11</v>
      </c>
      <c r="B49" s="721" t="s">
        <v>139</v>
      </c>
      <c r="C49" s="722">
        <f>M6</f>
        <v>3.5714285714286</v>
      </c>
      <c r="D49" s="462" t="s">
        <v>140</v>
      </c>
      <c r="E49" s="457">
        <f>$C$49/2</f>
        <v>1.7857142857143</v>
      </c>
      <c r="F49" s="461" t="s">
        <v>141</v>
      </c>
      <c r="G49" s="463">
        <f>E49/1</f>
        <v>1.7857142857143</v>
      </c>
      <c r="H49" s="561">
        <v>0.05</v>
      </c>
      <c r="I49" s="562">
        <v>0.0585</v>
      </c>
      <c r="J49" s="174">
        <f>H49-I49</f>
        <v>-0.0085</v>
      </c>
      <c r="K49" s="175">
        <v>0.02925</v>
      </c>
      <c r="L49" s="176">
        <f>I49+K49</f>
        <v>0.08775</v>
      </c>
      <c r="M49" s="51">
        <f>IF(K49&lt;&gt;0,J49/K49,"0%")</f>
        <v>-0.29059829059829</v>
      </c>
      <c r="N49" s="724" t="str">
        <f>(((G49/C49)*M49)+(G50/C49)*M50)</f>
        <v>0</v>
      </c>
      <c r="O49" s="630">
        <f>X50</f>
        <v>0</v>
      </c>
      <c r="P49" s="632">
        <f>O49/3.571428</f>
        <v>0</v>
      </c>
      <c r="Q49" s="177" t="s">
        <v>142</v>
      </c>
      <c r="R49" s="396" t="s">
        <v>132</v>
      </c>
      <c r="S49" s="107">
        <v>0.08775</v>
      </c>
      <c r="T49" s="5">
        <f>IF((I49&gt;=1),0,IF((0.5*I49*1)+I49&gt;1,(1-I49),(0.5*I49*1)))</f>
        <v>0.02925</v>
      </c>
      <c r="U49" s="5" t="s">
        <v>31</v>
      </c>
      <c r="V49" s="5">
        <f>(G49/C49)*M49</f>
        <v>-0.14529914529915</v>
      </c>
    </row>
    <row r="50" spans="1:466" customHeight="1" ht="23.4">
      <c r="A50" s="641"/>
      <c r="B50" s="691"/>
      <c r="C50" s="723"/>
      <c r="D50" s="462" t="s">
        <v>143</v>
      </c>
      <c r="E50" s="457">
        <f>$C$49/2</f>
        <v>1.7857142857143</v>
      </c>
      <c r="F50" s="462" t="s">
        <v>144</v>
      </c>
      <c r="G50" s="464">
        <f>E50/1</f>
        <v>1.7857142857143</v>
      </c>
      <c r="H50" s="563">
        <v>0</v>
      </c>
      <c r="I50" s="564">
        <v>0</v>
      </c>
      <c r="J50" s="178">
        <f>H50-I50</f>
        <v>0</v>
      </c>
      <c r="K50" s="179">
        <v>0</v>
      </c>
      <c r="L50" s="180">
        <f>I50+K50</f>
        <v>0</v>
      </c>
      <c r="M50" s="51" t="str">
        <f>IF(K50&lt;&gt;0,J50/K50,"0%")</f>
        <v>0%</v>
      </c>
      <c r="N50" s="724"/>
      <c r="O50" s="631"/>
      <c r="P50" s="633"/>
      <c r="Q50" s="177" t="s">
        <v>39</v>
      </c>
      <c r="R50" s="149" t="s">
        <v>145</v>
      </c>
      <c r="S50" s="67">
        <v>0</v>
      </c>
      <c r="T50" s="5">
        <f>IF((I50&gt;=1),0,IF((0.5*I50*1)+I50&gt;1,(1-I50),(0.5*I50*1)))</f>
        <v>0</v>
      </c>
      <c r="U50" s="5" t="s">
        <v>31</v>
      </c>
      <c r="V50" s="5" t="str">
        <f>(G50/C49)*M50</f>
        <v>0</v>
      </c>
      <c r="W50" s="5">
        <f>SUM(V49:V50)</f>
        <v>-0.14529914529915</v>
      </c>
      <c r="X50" s="629">
        <f>IF((W50)&gt;=1,3.57148,IF((W50)&lt;=0,0, (W50)*3.571428))</f>
        <v>0</v>
      </c>
    </row>
    <row r="51" spans="1:466" customHeight="1" ht="30.75">
      <c r="A51" s="22"/>
      <c r="B51" s="773" t="s">
        <v>146</v>
      </c>
      <c r="C51" s="773"/>
      <c r="D51" s="773"/>
      <c r="E51" s="773"/>
      <c r="F51" s="773"/>
      <c r="G51" s="182"/>
      <c r="H51" s="565"/>
      <c r="I51" s="566"/>
      <c r="J51" s="115"/>
      <c r="K51" s="116"/>
      <c r="L51" s="116"/>
      <c r="M51" s="182"/>
      <c r="N51" s="35">
        <f>N52</f>
        <v>0.043818890828184</v>
      </c>
      <c r="O51" s="36">
        <f>O52</f>
        <v>0.080360920609463</v>
      </c>
      <c r="P51" s="37">
        <f>O51/3.571428</f>
        <v>0.022501061370819</v>
      </c>
      <c r="Q51" s="183"/>
      <c r="R51" s="184"/>
      <c r="S51" s="184"/>
    </row>
    <row r="52" spans="1:466" customHeight="1" ht="37.95">
      <c r="A52" s="641">
        <v>12</v>
      </c>
      <c r="B52" s="685" t="s">
        <v>147</v>
      </c>
      <c r="C52" s="708">
        <f>M6</f>
        <v>3.5714285714286</v>
      </c>
      <c r="D52" s="444" t="s">
        <v>148</v>
      </c>
      <c r="E52" s="466">
        <f>C52/2</f>
        <v>1.7857142857143</v>
      </c>
      <c r="F52" s="444" t="s">
        <v>149</v>
      </c>
      <c r="G52" s="420">
        <f>$E$52/1</f>
        <v>1.7857142857143</v>
      </c>
      <c r="H52" s="531">
        <v>0.0049</v>
      </c>
      <c r="I52" s="532">
        <v>0.0042</v>
      </c>
      <c r="J52" s="185">
        <f>IF(I52=H52,(H52-0.3),H52-I52)</f>
        <v>0.0007</v>
      </c>
      <c r="K52" s="81">
        <v>0.2958</v>
      </c>
      <c r="L52" s="104">
        <f>I52+K52</f>
        <v>0.3</v>
      </c>
      <c r="M52" s="51">
        <f>IF(AND(ISBLANK(H52)=TRUE, ISBLANK(I52)=TRUE),0, IF(I52&gt;=0.3,(1+(H52-0.3)/30),(J52/K52)))</f>
        <v>0.0023664638269101</v>
      </c>
      <c r="N52" s="718">
        <f>(((G52/C52)*M52)+((G53/C52)*M53)+((G53/C52)*M53))</f>
        <v>0.043818890828184</v>
      </c>
      <c r="O52" s="637">
        <f>X54</f>
        <v>0.080360920609463</v>
      </c>
      <c r="P52" s="725">
        <f>O52/3.571428</f>
        <v>0.022501061370819</v>
      </c>
      <c r="Q52" s="186" t="s">
        <v>150</v>
      </c>
      <c r="R52" s="163" t="s">
        <v>151</v>
      </c>
      <c r="S52" s="107">
        <v>0.3</v>
      </c>
      <c r="T52" s="5">
        <f>IF(I52&gt;=0.3,0,((0.3-I52)*(10/10)))</f>
        <v>0.2958</v>
      </c>
      <c r="U52" s="5" t="s">
        <v>31</v>
      </c>
      <c r="V52" s="5">
        <f>(G52/C52)*M52</f>
        <v>0.001183231913455</v>
      </c>
    </row>
    <row r="53" spans="1:466" customHeight="1" ht="34.8">
      <c r="A53" s="641"/>
      <c r="B53" s="713"/>
      <c r="C53" s="662"/>
      <c r="D53" s="667" t="s">
        <v>152</v>
      </c>
      <c r="E53" s="728">
        <f>(C52/2)</f>
        <v>1.7857142857143</v>
      </c>
      <c r="F53" s="445" t="s">
        <v>153</v>
      </c>
      <c r="G53" s="420">
        <f>$E$53/2</f>
        <v>0.89285714285714</v>
      </c>
      <c r="H53" s="533">
        <v>0.052</v>
      </c>
      <c r="I53" s="534">
        <v>0.041</v>
      </c>
      <c r="J53" s="187">
        <f>IF(I53=H53,(H53-0.17),(H53-I53))</f>
        <v>0.011</v>
      </c>
      <c r="K53" s="110">
        <v>0.129</v>
      </c>
      <c r="L53" s="90">
        <f>I53+K53</f>
        <v>0.17</v>
      </c>
      <c r="M53" s="72">
        <f>IF(I53&gt;=0.1,(1+(H53-0.1)/1),(J53/K53))</f>
        <v>0.085271317829457</v>
      </c>
      <c r="N53" s="719"/>
      <c r="O53" s="638"/>
      <c r="P53" s="726"/>
      <c r="Q53" s="188" t="s">
        <v>154</v>
      </c>
      <c r="R53" s="189" t="s">
        <v>155</v>
      </c>
      <c r="S53" s="107">
        <v>0.17</v>
      </c>
      <c r="T53" s="5">
        <f>IF(I53&gt;=0.17,0,((0.17-I53)*(10/10)))</f>
        <v>0.129</v>
      </c>
      <c r="U53" s="5" t="s">
        <v>31</v>
      </c>
      <c r="V53" s="5">
        <f>(G53/C52)*M53</f>
        <v>0.021317829457364</v>
      </c>
    </row>
    <row r="54" spans="1:466" customHeight="1" ht="23.4">
      <c r="A54" s="47"/>
      <c r="B54" s="686"/>
      <c r="C54" s="710"/>
      <c r="D54" s="727"/>
      <c r="E54" s="729"/>
      <c r="F54" s="445" t="s">
        <v>156</v>
      </c>
      <c r="G54" s="420">
        <f>$E$53/2</f>
        <v>0.89285714285714</v>
      </c>
      <c r="H54" s="567">
        <v>0</v>
      </c>
      <c r="I54" s="568">
        <v>0</v>
      </c>
      <c r="J54" s="190">
        <f>IF(I54=H54,(H54-10),H54-I54)</f>
        <v>-10</v>
      </c>
      <c r="K54" s="96">
        <v>0.1</v>
      </c>
      <c r="L54" s="97">
        <f>I54+K54</f>
        <v>0.1</v>
      </c>
      <c r="M54" s="72">
        <f>IF(AND(ISBLANK(H54)=TRUE,ISBLANK(I54)=TRUE),0,IF(AND(H54=0,I54=0),0,IF(AND(H54&gt;=0,I54&gt;=0),(H54-I54)*0.17,IF(K54&lt;&gt;0,J54/K54))))</f>
        <v>0</v>
      </c>
      <c r="N54" s="639"/>
      <c r="O54" s="639"/>
      <c r="P54" s="710"/>
      <c r="Q54" s="191" t="s">
        <v>157</v>
      </c>
      <c r="R54" s="397" t="s">
        <v>145</v>
      </c>
      <c r="S54" s="67">
        <v>0.1</v>
      </c>
      <c r="T54" s="5">
        <f>IF(I54&gt;=0.1,0,((0.1-I54)*(10/10)))</f>
        <v>0.1</v>
      </c>
      <c r="U54" s="5" t="s">
        <v>31</v>
      </c>
      <c r="V54" s="5">
        <f>(G54/C52)*M54</f>
        <v>0</v>
      </c>
      <c r="W54" s="5">
        <f>SUM(V52:V54)</f>
        <v>0.022501061370819</v>
      </c>
      <c r="X54" s="629">
        <f>IF((W54)&gt;=1,3.571428,IF((W54)&lt;=0,0,(W54)*3.571428))</f>
        <v>0.080360920609463</v>
      </c>
    </row>
    <row r="55" spans="1:466" customHeight="1" ht="30.75">
      <c r="A55" s="22"/>
      <c r="B55" s="777" t="s">
        <v>158</v>
      </c>
      <c r="C55" s="777"/>
      <c r="D55" s="777"/>
      <c r="E55" s="777"/>
      <c r="F55" s="777"/>
      <c r="G55" s="303"/>
      <c r="H55" s="569"/>
      <c r="I55" s="570"/>
      <c r="J55" s="192"/>
      <c r="K55" s="193"/>
      <c r="L55" s="193"/>
      <c r="M55" s="194"/>
      <c r="N55" s="35" t="str">
        <f>(N56+N60+N64)/3</f>
        <v>0</v>
      </c>
      <c r="O55" s="36">
        <f>(O56+O60+O64)</f>
        <v>7.6310098414374</v>
      </c>
      <c r="P55" s="37">
        <f>O55/10.714284</f>
        <v>0.71222769915726</v>
      </c>
      <c r="Q55" s="195"/>
      <c r="R55" s="196"/>
      <c r="S55" s="196"/>
    </row>
    <row r="56" spans="1:466" customHeight="1" ht="20.7">
      <c r="A56" s="22"/>
      <c r="B56" s="774" t="s">
        <v>159</v>
      </c>
      <c r="C56" s="774"/>
      <c r="D56" s="774"/>
      <c r="E56" s="774"/>
      <c r="F56" s="774"/>
      <c r="G56" s="528"/>
      <c r="H56" s="565"/>
      <c r="I56" s="566"/>
      <c r="J56" s="197"/>
      <c r="K56" s="198"/>
      <c r="L56" s="198"/>
      <c r="M56" s="182"/>
      <c r="N56" s="35" t="str">
        <f>N57</f>
        <v>0</v>
      </c>
      <c r="O56" s="36">
        <f>O57</f>
        <v>3.571428</v>
      </c>
      <c r="P56" s="37">
        <f>O56/3.571428</f>
        <v>1</v>
      </c>
      <c r="Q56" s="183"/>
      <c r="R56" s="199"/>
      <c r="S56" s="199"/>
    </row>
    <row r="57" spans="1:466" customHeight="1" ht="37.95">
      <c r="A57" s="641">
        <v>13</v>
      </c>
      <c r="B57" s="655" t="s">
        <v>160</v>
      </c>
      <c r="C57" s="679">
        <f>M6</f>
        <v>3.5714285714286</v>
      </c>
      <c r="D57" s="685" t="s">
        <v>161</v>
      </c>
      <c r="E57" s="687">
        <f>$C$57/2</f>
        <v>1.7857142857143</v>
      </c>
      <c r="F57" s="469" t="s">
        <v>162</v>
      </c>
      <c r="G57" s="420"/>
      <c r="H57" s="571"/>
      <c r="I57" s="572"/>
      <c r="J57" s="200">
        <f>I57-H57</f>
        <v>0</v>
      </c>
      <c r="K57" s="201">
        <v>0</v>
      </c>
      <c r="L57" s="202">
        <f>I57-K57</f>
        <v>0</v>
      </c>
      <c r="M57" s="51" t="str">
        <f>IF(K57&lt;&gt;0,J57/K57,"0%")</f>
        <v>0%</v>
      </c>
      <c r="N57" s="681" t="str">
        <f>(((G57/C57)*M57)+((G58/C57)*M58)+((G59/C57)*M59))</f>
        <v>0</v>
      </c>
      <c r="O57" s="637">
        <f>X59</f>
        <v>3.571428</v>
      </c>
      <c r="P57" s="632">
        <f>O57/3.571428</f>
        <v>1</v>
      </c>
      <c r="Q57" s="53" t="s">
        <v>39</v>
      </c>
      <c r="R57" s="398" t="s">
        <v>163</v>
      </c>
      <c r="S57" s="204">
        <v>0</v>
      </c>
      <c r="T57" s="5">
        <f>(0.5*I57)* (10/10)</f>
        <v>0</v>
      </c>
      <c r="U57" s="5" t="s">
        <v>31</v>
      </c>
      <c r="V57" s="5" t="str">
        <f>(G57/C57)*M57</f>
        <v>0</v>
      </c>
    </row>
    <row r="58" spans="1:466" customHeight="1" ht="37.95">
      <c r="A58" s="641"/>
      <c r="B58" s="713"/>
      <c r="C58" s="714"/>
      <c r="D58" s="686"/>
      <c r="E58" s="715"/>
      <c r="F58" s="470" t="s">
        <v>164</v>
      </c>
      <c r="G58" s="417">
        <f>$E$57/1</f>
        <v>1.7857142857143</v>
      </c>
      <c r="H58" s="543">
        <v>0</v>
      </c>
      <c r="I58" s="544">
        <v>0</v>
      </c>
      <c r="J58" s="200">
        <f>I58-H58</f>
        <v>0</v>
      </c>
      <c r="K58" s="205">
        <v>0</v>
      </c>
      <c r="L58" s="206">
        <v>0</v>
      </c>
      <c r="M58" s="51" t="str">
        <f>IF(K58&lt;&gt;0,J58/K58,"0%")</f>
        <v>0%</v>
      </c>
      <c r="N58" s="716"/>
      <c r="O58" s="638"/>
      <c r="P58" s="707"/>
      <c r="Q58" s="207"/>
      <c r="R58" s="149" t="s">
        <v>163</v>
      </c>
      <c r="S58" s="67">
        <v>0</v>
      </c>
      <c r="T58" s="613">
        <f>I58</f>
        <v>0</v>
      </c>
      <c r="U58" s="5" t="s">
        <v>31</v>
      </c>
      <c r="V58" s="5" t="str">
        <f>(G58/C57)*M58</f>
        <v>0</v>
      </c>
    </row>
    <row r="59" spans="1:466" customHeight="1" ht="30.75">
      <c r="A59" s="641"/>
      <c r="B59" s="657"/>
      <c r="C59" s="700"/>
      <c r="D59" s="468" t="s">
        <v>165</v>
      </c>
      <c r="E59" s="432">
        <f>$C$57/2</f>
        <v>1.7857142857143</v>
      </c>
      <c r="F59" s="429" t="s">
        <v>166</v>
      </c>
      <c r="G59" s="471">
        <f>E59/1</f>
        <v>1.7857142857143</v>
      </c>
      <c r="H59" s="573">
        <v>0.18</v>
      </c>
      <c r="I59" s="574">
        <v>0.083</v>
      </c>
      <c r="J59" s="95">
        <f>H59-I59</f>
        <v>0.097</v>
      </c>
      <c r="K59" s="209">
        <v>0.249</v>
      </c>
      <c r="L59" s="97">
        <f>I59*3</f>
        <v>0.249</v>
      </c>
      <c r="M59" s="59">
        <v>3.23</v>
      </c>
      <c r="N59" s="717"/>
      <c r="O59" s="639"/>
      <c r="P59" s="633"/>
      <c r="Q59" s="210" t="s">
        <v>39</v>
      </c>
      <c r="R59" s="399" t="s">
        <v>167</v>
      </c>
      <c r="S59" s="211">
        <v>0.332</v>
      </c>
      <c r="T59" s="5">
        <f>IF((I59&gt;=1),0,IF((3*I59*1)+I59&gt;1,(1-I59),(3*I59*1)))</f>
        <v>0.249</v>
      </c>
      <c r="U59" s="5" t="s">
        <v>31</v>
      </c>
      <c r="V59" s="5">
        <f>(G59/C57)*M59</f>
        <v>1.615</v>
      </c>
      <c r="W59" s="5">
        <f>SUM(V57:V59)</f>
        <v>1.615</v>
      </c>
      <c r="X59" s="629">
        <f>IF((W59)&gt;=1,3.571428,IF((W59)&lt;=0,0,(W59)*3.571428))</f>
        <v>3.571428</v>
      </c>
    </row>
    <row r="60" spans="1:466" customHeight="1" ht="15">
      <c r="A60" s="22"/>
      <c r="B60" s="773" t="s">
        <v>168</v>
      </c>
      <c r="C60" s="773"/>
      <c r="D60" s="773"/>
      <c r="E60" s="773"/>
      <c r="F60" s="773"/>
      <c r="G60" s="213"/>
      <c r="H60" s="575"/>
      <c r="I60" s="576"/>
      <c r="J60" s="212"/>
      <c r="K60" s="212"/>
      <c r="L60" s="212"/>
      <c r="M60" s="213"/>
      <c r="N60" s="214">
        <f>N61</f>
        <v>0.5</v>
      </c>
      <c r="O60" s="215">
        <f>O61</f>
        <v>1.785714</v>
      </c>
      <c r="P60" s="52">
        <f>O60/3.571428</f>
        <v>0.5</v>
      </c>
      <c r="Q60" s="216"/>
      <c r="R60" s="217"/>
      <c r="S60" s="217"/>
    </row>
    <row r="61" spans="1:466" customHeight="1" ht="30.75">
      <c r="A61" s="218">
        <v>14</v>
      </c>
      <c r="B61" s="685" t="s">
        <v>169</v>
      </c>
      <c r="C61" s="708">
        <f>M6</f>
        <v>3.5714285714286</v>
      </c>
      <c r="D61" s="642" t="s">
        <v>170</v>
      </c>
      <c r="E61" s="644">
        <f>C61/2</f>
        <v>1.7857142857143</v>
      </c>
      <c r="F61" s="415" t="s">
        <v>171</v>
      </c>
      <c r="G61" s="475">
        <f>$E$61/1</f>
        <v>1.7857142857143</v>
      </c>
      <c r="H61" s="571">
        <v>1</v>
      </c>
      <c r="I61" s="572">
        <v>0</v>
      </c>
      <c r="J61" s="219">
        <f>H61-I61</f>
        <v>1</v>
      </c>
      <c r="K61" s="220">
        <v>1</v>
      </c>
      <c r="L61" s="221">
        <f>I61+K61</f>
        <v>1</v>
      </c>
      <c r="M61" s="222">
        <f>IF(K61&lt;&gt;0,J61/K61,1)</f>
        <v>1</v>
      </c>
      <c r="N61" s="632">
        <f>(((G61/C61)*M61)+((G62/C61)*M62)+((G63/C61)*M63))</f>
        <v>0.5</v>
      </c>
      <c r="O61" s="637">
        <f>X63</f>
        <v>1.785714</v>
      </c>
      <c r="P61" s="632">
        <f>O61/3.571428</f>
        <v>0.5</v>
      </c>
      <c r="Q61" s="223" t="s">
        <v>39</v>
      </c>
      <c r="R61" s="401" t="s">
        <v>163</v>
      </c>
      <c r="S61" s="401">
        <v>1</v>
      </c>
      <c r="T61" s="5">
        <f>(1-I61)*(10/10)</f>
        <v>1</v>
      </c>
      <c r="U61" s="5" t="s">
        <v>31</v>
      </c>
      <c r="V61" s="5">
        <f>(G61/C61)*M61</f>
        <v>0.5</v>
      </c>
    </row>
    <row r="62" spans="1:466" customHeight="1" ht="30.75">
      <c r="A62" s="218"/>
      <c r="B62" s="692"/>
      <c r="C62" s="709"/>
      <c r="D62" s="711"/>
      <c r="E62" s="712"/>
      <c r="F62" s="433" t="s">
        <v>172</v>
      </c>
      <c r="G62" s="476"/>
      <c r="H62" s="535">
        <v>1</v>
      </c>
      <c r="I62" s="536">
        <v>0</v>
      </c>
      <c r="J62" s="89">
        <f>H62-I62</f>
        <v>1</v>
      </c>
      <c r="K62" s="224">
        <v>1</v>
      </c>
      <c r="L62" s="225">
        <f>I62+K62</f>
        <v>1</v>
      </c>
      <c r="M62" s="226">
        <f>IF(K62&lt;&gt;0,J62/K62,"1")</f>
        <v>1</v>
      </c>
      <c r="N62" s="707"/>
      <c r="O62" s="638"/>
      <c r="P62" s="638"/>
      <c r="Q62" s="227" t="s">
        <v>39</v>
      </c>
      <c r="R62" s="402" t="s">
        <v>163</v>
      </c>
      <c r="S62" s="400">
        <v>1</v>
      </c>
      <c r="T62" s="5">
        <f>(1-I62)*(10/10)</f>
        <v>1</v>
      </c>
      <c r="U62" s="5" t="s">
        <v>31</v>
      </c>
      <c r="V62" s="5">
        <f>(G62/C61)*M62</f>
        <v>0</v>
      </c>
    </row>
    <row r="63" spans="1:466" customHeight="1" ht="30.75">
      <c r="A63" s="218"/>
      <c r="B63" s="686"/>
      <c r="C63" s="710"/>
      <c r="D63" s="472" t="s">
        <v>173</v>
      </c>
      <c r="E63" s="474">
        <f>C61/2</f>
        <v>1.7857142857143</v>
      </c>
      <c r="F63" s="473" t="s">
        <v>174</v>
      </c>
      <c r="G63" s="477">
        <f>E63/1</f>
        <v>1.7857142857143</v>
      </c>
      <c r="H63" s="533">
        <v>0</v>
      </c>
      <c r="I63" s="534">
        <v>0</v>
      </c>
      <c r="J63" s="228">
        <f>H63-I63</f>
        <v>0</v>
      </c>
      <c r="K63" s="209">
        <v>1</v>
      </c>
      <c r="L63" s="229">
        <f>I63+K63</f>
        <v>1</v>
      </c>
      <c r="M63" s="230">
        <f>IF(K63&lt;&gt;0,J63/K63,"100%")</f>
        <v>0</v>
      </c>
      <c r="N63" s="639"/>
      <c r="O63" s="639"/>
      <c r="P63" s="639"/>
      <c r="Q63" s="231" t="s">
        <v>39</v>
      </c>
      <c r="R63" s="309" t="s">
        <v>163</v>
      </c>
      <c r="S63" s="403">
        <v>1</v>
      </c>
      <c r="T63" s="5">
        <f>(1-I63)*(10/10)</f>
        <v>1</v>
      </c>
      <c r="U63" s="5" t="s">
        <v>31</v>
      </c>
      <c r="V63" s="5">
        <f>(G63/C61)*M63</f>
        <v>0</v>
      </c>
      <c r="W63" s="5">
        <f>SUM(V61:V63)</f>
        <v>0.5</v>
      </c>
      <c r="X63" s="629">
        <f>IF((W63)&gt;=1,3.571428,IF((W63)&lt;=0,0,(W63)*3.571428))</f>
        <v>1.785714</v>
      </c>
    </row>
    <row r="64" spans="1:466" customHeight="1" ht="20.7">
      <c r="A64" s="22"/>
      <c r="B64" s="773" t="s">
        <v>175</v>
      </c>
      <c r="C64" s="773"/>
      <c r="D64" s="773"/>
      <c r="E64" s="773"/>
      <c r="F64" s="773"/>
      <c r="G64" s="478"/>
      <c r="H64" s="545"/>
      <c r="I64" s="546"/>
      <c r="J64" s="232"/>
      <c r="K64" s="233"/>
      <c r="L64" s="233"/>
      <c r="M64" s="101"/>
      <c r="N64" s="234">
        <f>N65</f>
        <v>0.63668309747178</v>
      </c>
      <c r="O64" s="235">
        <f>O65</f>
        <v>2.2738678414374</v>
      </c>
      <c r="P64" s="234">
        <f>O64/3.571428</f>
        <v>0.63668309747178</v>
      </c>
      <c r="Q64" s="236"/>
      <c r="R64" s="184"/>
      <c r="S64" s="184"/>
    </row>
    <row r="65" spans="1:466" customHeight="1" ht="43.95">
      <c r="A65" s="641">
        <v>15</v>
      </c>
      <c r="B65" s="649" t="s">
        <v>176</v>
      </c>
      <c r="C65" s="679">
        <f>M6</f>
        <v>3.5714285714286</v>
      </c>
      <c r="D65" s="479" t="s">
        <v>177</v>
      </c>
      <c r="E65" s="481">
        <f>$C$65/5</f>
        <v>0.71428571428571</v>
      </c>
      <c r="F65" s="483" t="s">
        <v>178</v>
      </c>
      <c r="G65" s="420">
        <f>E65/1</f>
        <v>0.71428571428571</v>
      </c>
      <c r="H65" s="531">
        <v>0</v>
      </c>
      <c r="I65" s="532">
        <v>0</v>
      </c>
      <c r="J65" s="80">
        <f>H65-I65</f>
        <v>0</v>
      </c>
      <c r="K65" s="81">
        <v>1</v>
      </c>
      <c r="L65" s="104">
        <f>I65+K65</f>
        <v>1</v>
      </c>
      <c r="M65" s="51">
        <v>0</v>
      </c>
      <c r="N65" s="701">
        <f>(((G65/C65)*M65)+((G66/C65)*M66)+((G67/C65)*M67)+((G68/C65)*M68)+((G69/C65)*M69)+((G70/C65)*M70)+((G71/C65)*M71))</f>
        <v>0.63668309747178</v>
      </c>
      <c r="O65" s="690">
        <f>X71</f>
        <v>2.2738678414374</v>
      </c>
      <c r="P65" s="632">
        <f>O65/3.571428</f>
        <v>0.63668309747178</v>
      </c>
      <c r="Q65" s="237" t="s">
        <v>39</v>
      </c>
      <c r="R65" s="5" t="s">
        <v>179</v>
      </c>
      <c r="S65" s="238">
        <v>1</v>
      </c>
      <c r="T65" s="5">
        <f>(1-I65)*(10/10)</f>
        <v>1</v>
      </c>
      <c r="U65" s="5" t="s">
        <v>31</v>
      </c>
      <c r="V65" s="5">
        <f>(G65/C65)*M65</f>
        <v>0</v>
      </c>
    </row>
    <row r="66" spans="1:466" customHeight="1" ht="35.7">
      <c r="A66" s="641"/>
      <c r="B66" s="650"/>
      <c r="C66" s="699"/>
      <c r="D66" s="480" t="s">
        <v>180</v>
      </c>
      <c r="E66" s="482">
        <f>$C$65/5</f>
        <v>0.71428571428571</v>
      </c>
      <c r="F66" s="484" t="s">
        <v>181</v>
      </c>
      <c r="G66" s="417">
        <f>E66/1</f>
        <v>0.71428571428571</v>
      </c>
      <c r="H66" s="547">
        <v>0</v>
      </c>
      <c r="I66" s="548">
        <v>0</v>
      </c>
      <c r="J66" s="89">
        <f>H66-I66</f>
        <v>0</v>
      </c>
      <c r="K66" s="70">
        <v>1</v>
      </c>
      <c r="L66" s="90">
        <f>I66+K66</f>
        <v>1</v>
      </c>
      <c r="M66" s="72">
        <f>IF(AND(ISBLANK(H66)=TRUE, ISBLANK(I66)=TRUE),0, IF(K66=0,1,J66/K66))</f>
        <v>0</v>
      </c>
      <c r="N66" s="702"/>
      <c r="O66" s="638"/>
      <c r="P66" s="640"/>
      <c r="Q66" s="240" t="s">
        <v>39</v>
      </c>
      <c r="R66" s="5" t="s">
        <v>179</v>
      </c>
      <c r="S66" s="189">
        <v>1</v>
      </c>
      <c r="T66" s="5">
        <f>(1-I66)*(6/6)</f>
        <v>1</v>
      </c>
      <c r="U66" s="5" t="s">
        <v>31</v>
      </c>
      <c r="V66" s="5">
        <f>(G66/C65)*M66</f>
        <v>0</v>
      </c>
    </row>
    <row r="67" spans="1:466" customHeight="1" ht="49.2">
      <c r="A67" s="641"/>
      <c r="B67" s="650"/>
      <c r="C67" s="699"/>
      <c r="D67" s="695" t="s">
        <v>182</v>
      </c>
      <c r="E67" s="705">
        <f>$C$65/5</f>
        <v>0.71428571428571</v>
      </c>
      <c r="F67" s="484" t="s">
        <v>183</v>
      </c>
      <c r="G67" s="417">
        <f>$E$67/2</f>
        <v>0.35714285714286</v>
      </c>
      <c r="H67" s="543">
        <v>1</v>
      </c>
      <c r="I67" s="544">
        <v>0</v>
      </c>
      <c r="J67" s="241">
        <f>H67-I67</f>
        <v>1</v>
      </c>
      <c r="K67" s="242">
        <v>1</v>
      </c>
      <c r="L67" s="243">
        <f>I67+K67</f>
        <v>1</v>
      </c>
      <c r="M67" s="72">
        <f>IF(K67&lt;&gt;0,J67/K67,1)</f>
        <v>1</v>
      </c>
      <c r="N67" s="702"/>
      <c r="O67" s="638"/>
      <c r="P67" s="640"/>
      <c r="Q67" s="240" t="s">
        <v>39</v>
      </c>
      <c r="R67" s="404" t="s">
        <v>179</v>
      </c>
      <c r="S67" s="67">
        <v>1</v>
      </c>
      <c r="T67" s="5">
        <f>(1-I67)*(10/10)</f>
        <v>1</v>
      </c>
      <c r="U67" s="5" t="s">
        <v>31</v>
      </c>
      <c r="V67" s="5">
        <f>(G67/C65)*M67</f>
        <v>0.1</v>
      </c>
    </row>
    <row r="68" spans="1:466" customHeight="1" ht="39">
      <c r="A68" s="641"/>
      <c r="B68" s="650"/>
      <c r="C68" s="699"/>
      <c r="D68" s="704"/>
      <c r="E68" s="706"/>
      <c r="F68" s="484" t="s">
        <v>184</v>
      </c>
      <c r="G68" s="417">
        <f>$E$67/2</f>
        <v>0.35714285714286</v>
      </c>
      <c r="H68" s="543">
        <v>1</v>
      </c>
      <c r="I68" s="544">
        <v>0</v>
      </c>
      <c r="J68" s="241">
        <f>H68-I68</f>
        <v>1</v>
      </c>
      <c r="K68" s="242">
        <v>1</v>
      </c>
      <c r="L68" s="243">
        <f>I68+K68</f>
        <v>1</v>
      </c>
      <c r="M68" s="72">
        <f>IF(K68&lt;&gt;0,J68/K68,"100%")</f>
        <v>1</v>
      </c>
      <c r="N68" s="702"/>
      <c r="O68" s="638"/>
      <c r="P68" s="640"/>
      <c r="Q68" s="240"/>
      <c r="R68" s="404" t="s">
        <v>179</v>
      </c>
      <c r="S68" s="67">
        <v>1</v>
      </c>
      <c r="T68" s="5">
        <f>(1-I68)*(10/10)</f>
        <v>1</v>
      </c>
      <c r="U68" s="5" t="s">
        <v>31</v>
      </c>
      <c r="V68" s="5">
        <f>(G68/C65)*M68</f>
        <v>0.1</v>
      </c>
    </row>
    <row r="69" spans="1:466" customHeight="1" ht="37.35">
      <c r="A69" s="641"/>
      <c r="B69" s="650"/>
      <c r="C69" s="699"/>
      <c r="D69" s="480" t="s">
        <v>185</v>
      </c>
      <c r="E69" s="482">
        <f>$C$65/5</f>
        <v>0.71428571428571</v>
      </c>
      <c r="F69" s="422" t="s">
        <v>186</v>
      </c>
      <c r="G69" s="417">
        <f>E69/1</f>
        <v>0.71428571428571</v>
      </c>
      <c r="H69" s="543">
        <v>178.5</v>
      </c>
      <c r="I69" s="543">
        <v>165.5</v>
      </c>
      <c r="J69" s="244">
        <f>H69-I69</f>
        <v>13</v>
      </c>
      <c r="K69" s="245">
        <v>82.75</v>
      </c>
      <c r="L69" s="166">
        <f>I69+K69</f>
        <v>248.25</v>
      </c>
      <c r="M69" s="72">
        <f>IF(K69&lt;&gt;0,J69/K69,"0%")</f>
        <v>0.1570996978852</v>
      </c>
      <c r="N69" s="702"/>
      <c r="O69" s="638"/>
      <c r="P69" s="640"/>
      <c r="Q69" s="240" t="s">
        <v>51</v>
      </c>
      <c r="R69" s="189" t="s">
        <v>52</v>
      </c>
      <c r="S69" s="88">
        <v>248.25</v>
      </c>
      <c r="T69" s="5">
        <f>(0.5*I69)*(7/7)</f>
        <v>82.75</v>
      </c>
      <c r="U69" s="5" t="s">
        <v>31</v>
      </c>
      <c r="V69" s="5">
        <f>(G69/C65)*M69</f>
        <v>0.031419939577039</v>
      </c>
    </row>
    <row r="70" spans="1:466" customHeight="1" ht="22.95">
      <c r="A70" s="641"/>
      <c r="B70" s="650"/>
      <c r="C70" s="699"/>
      <c r="D70" s="695" t="s">
        <v>187</v>
      </c>
      <c r="E70" s="697">
        <f>$C$65/5</f>
        <v>0.71428571428571</v>
      </c>
      <c r="F70" s="484" t="s">
        <v>188</v>
      </c>
      <c r="G70" s="417">
        <f>$E$70/2</f>
        <v>0.35714285714286</v>
      </c>
      <c r="H70" s="552">
        <v>1</v>
      </c>
      <c r="I70" s="552">
        <v>0.99</v>
      </c>
      <c r="J70" s="124">
        <f>H70-I70</f>
        <v>0.01</v>
      </c>
      <c r="K70" s="246">
        <v>0.01</v>
      </c>
      <c r="L70" s="247">
        <f>I70+K70</f>
        <v>1</v>
      </c>
      <c r="M70" s="72">
        <f>IF(K70&lt;&gt;0,J70/K70,"0%")</f>
        <v>1</v>
      </c>
      <c r="N70" s="702"/>
      <c r="O70" s="638"/>
      <c r="P70" s="640"/>
      <c r="Q70" s="240" t="s">
        <v>189</v>
      </c>
      <c r="R70" s="189" t="s">
        <v>190</v>
      </c>
      <c r="S70" s="88">
        <v>1</v>
      </c>
      <c r="T70" s="5">
        <f>IF((I70&gt;=1),0,IF((1*I70*1)+I70&gt;1,(1-I70),(1*I70*1)))</f>
        <v>0.01</v>
      </c>
      <c r="U70" s="5" t="s">
        <v>31</v>
      </c>
      <c r="V70" s="5">
        <f>(G70/C65)*M70</f>
        <v>0.1</v>
      </c>
    </row>
    <row r="71" spans="1:466" customHeight="1" ht="29.4">
      <c r="A71" s="641"/>
      <c r="B71" s="651"/>
      <c r="C71" s="700"/>
      <c r="D71" s="696"/>
      <c r="E71" s="698"/>
      <c r="F71" s="485" t="s">
        <v>191</v>
      </c>
      <c r="G71" s="471">
        <f>$E$70/2</f>
        <v>0.35714285714286</v>
      </c>
      <c r="H71" s="549">
        <v>0.077</v>
      </c>
      <c r="I71" s="550">
        <v>0.019</v>
      </c>
      <c r="J71" s="89">
        <f>H71-I71</f>
        <v>0.058</v>
      </c>
      <c r="K71" s="110">
        <v>0.019</v>
      </c>
      <c r="L71" s="90">
        <f>I71+K71</f>
        <v>0.038</v>
      </c>
      <c r="M71" s="59">
        <f>IF(K71&lt;&gt;0,J71/K71,"0%")</f>
        <v>3.0526315789474</v>
      </c>
      <c r="N71" s="703"/>
      <c r="O71" s="639"/>
      <c r="P71" s="633"/>
      <c r="Q71" s="248" t="s">
        <v>39</v>
      </c>
      <c r="R71" s="249" t="s">
        <v>192</v>
      </c>
      <c r="S71" s="250">
        <v>0.038</v>
      </c>
      <c r="T71" s="5">
        <f>IF((I71&gt;=1),0,IF((1*I71*1)+I71&gt;1,(1-I71),(1*I71*1)))</f>
        <v>0.019</v>
      </c>
      <c r="U71" s="5" t="s">
        <v>31</v>
      </c>
      <c r="V71" s="5">
        <f>(G71/C65)*M71</f>
        <v>0.30526315789474</v>
      </c>
      <c r="W71" s="5">
        <f>SUM(V65:V71)</f>
        <v>0.63668309747178</v>
      </c>
      <c r="X71" s="629">
        <f>IF((W71)&gt;=1,3.571428,IF((W71)&lt;=0,0,((W71)*3.571428)))</f>
        <v>2.2738678414374</v>
      </c>
    </row>
    <row r="72" spans="1:466" customHeight="1" ht="23.7">
      <c r="A72" s="22"/>
      <c r="B72" s="777" t="s">
        <v>193</v>
      </c>
      <c r="C72" s="777"/>
      <c r="D72" s="777"/>
      <c r="E72" s="777"/>
      <c r="F72" s="777"/>
      <c r="G72" s="526"/>
      <c r="H72" s="577"/>
      <c r="I72" s="578"/>
      <c r="J72" s="251"/>
      <c r="K72" s="251"/>
      <c r="L72" s="251"/>
      <c r="M72" s="194"/>
      <c r="N72" s="35">
        <f>(N73+N81)/2</f>
        <v>0.94122747747748</v>
      </c>
      <c r="O72" s="36">
        <f>(O73+O81)</f>
        <v>6.28868947</v>
      </c>
      <c r="P72" s="37">
        <f>O72/7.142856</f>
        <v>0.88041666666667</v>
      </c>
      <c r="Q72" s="252"/>
      <c r="R72" s="253"/>
      <c r="S72" s="253"/>
    </row>
    <row r="73" spans="1:466" customHeight="1" ht="22.35">
      <c r="A73" s="22"/>
      <c r="B73" s="773" t="s">
        <v>194</v>
      </c>
      <c r="C73" s="773"/>
      <c r="D73" s="773"/>
      <c r="E73" s="773"/>
      <c r="F73" s="773"/>
      <c r="G73" s="254"/>
      <c r="H73" s="565"/>
      <c r="I73" s="566"/>
      <c r="J73" s="115"/>
      <c r="K73" s="116"/>
      <c r="L73" s="116"/>
      <c r="M73" s="182"/>
      <c r="N73" s="35">
        <f>N74</f>
        <v>0.76083333333333</v>
      </c>
      <c r="O73" s="36">
        <f>O74</f>
        <v>2.71726147</v>
      </c>
      <c r="P73" s="37">
        <f>O73/3.571428</f>
        <v>0.76083333333333</v>
      </c>
      <c r="Q73" s="254"/>
      <c r="R73" s="255"/>
      <c r="S73" s="255"/>
    </row>
    <row r="74" spans="1:466" customHeight="1" ht="39">
      <c r="A74" s="641">
        <v>16</v>
      </c>
      <c r="B74" s="649" t="s">
        <v>195</v>
      </c>
      <c r="C74" s="679">
        <f>M6</f>
        <v>3.5714285714286</v>
      </c>
      <c r="D74" s="436" t="s">
        <v>196</v>
      </c>
      <c r="E74" s="430">
        <f>$C$74/4</f>
        <v>0.89285714285714</v>
      </c>
      <c r="F74" s="436" t="s">
        <v>197</v>
      </c>
      <c r="G74" s="420">
        <f>E74/1</f>
        <v>0.89285714285714</v>
      </c>
      <c r="H74" s="539">
        <v>0.597</v>
      </c>
      <c r="I74" s="540">
        <v>0.594</v>
      </c>
      <c r="J74" s="185">
        <f>IF(I74=H74,(H74-0.7),H74-I74)</f>
        <v>0.003</v>
      </c>
      <c r="K74" s="81">
        <v>0.69406</v>
      </c>
      <c r="L74" s="256">
        <f>I74+K74</f>
        <v>1.28806</v>
      </c>
      <c r="M74" s="51">
        <v>0.85</v>
      </c>
      <c r="N74" s="634">
        <f>(((G74/C74)*M74)+((G75/C74)*M75)+((G76/C74)*M76)+((G78/C74)*M78)+((G79/C74)*M79)+((G80/C74)*M80))</f>
        <v>0.76083333333333</v>
      </c>
      <c r="O74" s="690">
        <f>X80</f>
        <v>2.71726147</v>
      </c>
      <c r="P74" s="632">
        <f>O74/3.571428</f>
        <v>0.76083333333333</v>
      </c>
      <c r="Q74" s="257" t="s">
        <v>198</v>
      </c>
      <c r="R74" s="208" t="s">
        <v>199</v>
      </c>
      <c r="S74" s="107">
        <v>1.28806</v>
      </c>
      <c r="T74" s="5">
        <f>IF(I74&gt;=70,0,((70-I74)*(10/10)/100))</f>
        <v>0.69406</v>
      </c>
      <c r="U74" s="5" t="s">
        <v>31</v>
      </c>
      <c r="V74" s="5">
        <f>(G74/C74)*M74</f>
        <v>0.2125</v>
      </c>
    </row>
    <row r="75" spans="1:466" customHeight="1" ht="58.35">
      <c r="A75" s="641"/>
      <c r="B75" s="650"/>
      <c r="C75" s="699"/>
      <c r="D75" s="437" t="s">
        <v>200</v>
      </c>
      <c r="E75" s="431">
        <f>$C$74/4</f>
        <v>0.89285714285714</v>
      </c>
      <c r="F75" s="480" t="s">
        <v>201</v>
      </c>
      <c r="G75" s="417">
        <f>$E$75/1</f>
        <v>0.89285714285714</v>
      </c>
      <c r="H75" s="547">
        <v>0.603</v>
      </c>
      <c r="I75" s="548">
        <v>0.325</v>
      </c>
      <c r="J75" s="258">
        <f>IF(I75=H75,(H75-70),H75-I75)</f>
        <v>0.278</v>
      </c>
      <c r="K75" s="259">
        <v>0.69675</v>
      </c>
      <c r="L75" s="243">
        <f>I75+K75</f>
        <v>1.02175</v>
      </c>
      <c r="M75" s="72">
        <v>0.86</v>
      </c>
      <c r="N75" s="635"/>
      <c r="O75" s="638"/>
      <c r="P75" s="640"/>
      <c r="Q75" s="260" t="s">
        <v>202</v>
      </c>
      <c r="R75" s="208" t="s">
        <v>199</v>
      </c>
      <c r="S75" s="111">
        <v>1.02175</v>
      </c>
      <c r="T75" s="5">
        <f>IF(I75&gt;=70,0,((70-I75)*(10/10)/100))</f>
        <v>0.69675</v>
      </c>
      <c r="U75" s="5" t="s">
        <v>31</v>
      </c>
      <c r="V75" s="5">
        <f>(G75/C74)*M75</f>
        <v>0.215</v>
      </c>
    </row>
    <row r="76" spans="1:466" customHeight="1" ht="26.7">
      <c r="A76" s="641"/>
      <c r="B76" s="650"/>
      <c r="C76" s="699"/>
      <c r="D76" s="437" t="s">
        <v>203</v>
      </c>
      <c r="E76" s="431">
        <f>$C$74/4</f>
        <v>0.89285714285714</v>
      </c>
      <c r="F76" s="437" t="s">
        <v>204</v>
      </c>
      <c r="G76" s="417">
        <f>E76/1</f>
        <v>0.89285714285714</v>
      </c>
      <c r="H76" s="547">
        <v>0.728</v>
      </c>
      <c r="I76" s="548">
        <v>0.333</v>
      </c>
      <c r="J76" s="187">
        <f>IF(I76=H76,(H76-0.7),H76-I76)</f>
        <v>0.395</v>
      </c>
      <c r="K76" s="110">
        <v>0.367</v>
      </c>
      <c r="L76" s="261">
        <f>I76+K76</f>
        <v>0.7</v>
      </c>
      <c r="M76" s="72">
        <v>1</v>
      </c>
      <c r="N76" s="635"/>
      <c r="O76" s="638"/>
      <c r="P76" s="640"/>
      <c r="Q76" s="260" t="s">
        <v>39</v>
      </c>
      <c r="R76" s="208" t="s">
        <v>205</v>
      </c>
      <c r="S76" s="111">
        <v>0.7</v>
      </c>
      <c r="T76" s="5">
        <f>IF(I76&gt;=0.7,0,((0.7-I76)*(10/10)))</f>
        <v>0.367</v>
      </c>
      <c r="U76" s="5" t="s">
        <v>31</v>
      </c>
      <c r="V76" s="5">
        <f>(G76/C74)*M76</f>
        <v>0.25</v>
      </c>
    </row>
    <row r="77" spans="1:466" customHeight="1" ht="26.7">
      <c r="A77" s="641"/>
      <c r="B77" s="650"/>
      <c r="C77" s="699"/>
      <c r="D77" s="691" t="s">
        <v>206</v>
      </c>
      <c r="E77" s="431"/>
      <c r="F77" s="486" t="s">
        <v>207</v>
      </c>
      <c r="G77" s="417"/>
      <c r="H77" s="579">
        <v>0</v>
      </c>
      <c r="I77" s="580">
        <v>0</v>
      </c>
      <c r="J77" s="258"/>
      <c r="K77" s="259"/>
      <c r="L77" s="243"/>
      <c r="M77" s="72">
        <v>0</v>
      </c>
      <c r="N77" s="635"/>
      <c r="O77" s="638"/>
      <c r="P77" s="640"/>
      <c r="Q77" s="260"/>
      <c r="R77" s="208" t="s">
        <v>208</v>
      </c>
      <c r="S77" s="111">
        <v>0</v>
      </c>
      <c r="T77" s="5"/>
      <c r="U77" s="5" t="s">
        <v>31</v>
      </c>
    </row>
    <row r="78" spans="1:466" customHeight="1" ht="15">
      <c r="A78" s="641"/>
      <c r="B78" s="650"/>
      <c r="C78" s="699"/>
      <c r="D78" s="692"/>
      <c r="E78" s="693">
        <f>$C$74/4</f>
        <v>0.89285714285714</v>
      </c>
      <c r="F78" s="437" t="s">
        <v>209</v>
      </c>
      <c r="G78" s="487">
        <f>$E$78/3</f>
        <v>0.29761904761905</v>
      </c>
      <c r="H78" s="551">
        <v>1</v>
      </c>
      <c r="I78" s="552">
        <v>1</v>
      </c>
      <c r="J78" s="241">
        <f>H78-I78</f>
        <v>0</v>
      </c>
      <c r="K78" s="242">
        <v>0</v>
      </c>
      <c r="L78" s="243">
        <f>I78+K78</f>
        <v>1</v>
      </c>
      <c r="M78" s="72">
        <v>1</v>
      </c>
      <c r="N78" s="635"/>
      <c r="O78" s="638"/>
      <c r="P78" s="640"/>
      <c r="Q78" s="260" t="s">
        <v>39</v>
      </c>
      <c r="R78" s="208" t="s">
        <v>210</v>
      </c>
      <c r="S78" s="262">
        <v>1</v>
      </c>
      <c r="T78" s="5">
        <f>(1-I78)*(7/7)</f>
        <v>0</v>
      </c>
      <c r="U78" s="5" t="s">
        <v>31</v>
      </c>
      <c r="V78" s="5">
        <f>(G78/C74)*M78</f>
        <v>0.083333333333333</v>
      </c>
    </row>
    <row r="79" spans="1:466" customHeight="1" ht="24.6">
      <c r="A79" s="641"/>
      <c r="B79" s="650"/>
      <c r="C79" s="699"/>
      <c r="D79" s="692"/>
      <c r="E79" s="693"/>
      <c r="F79" s="437" t="s">
        <v>211</v>
      </c>
      <c r="G79" s="487">
        <f>$E$78/3</f>
        <v>0.29761904761905</v>
      </c>
      <c r="H79" s="551">
        <v>0</v>
      </c>
      <c r="I79" s="552">
        <v>0</v>
      </c>
      <c r="J79" s="241">
        <f>H79-I79</f>
        <v>0</v>
      </c>
      <c r="K79" s="242">
        <v>1</v>
      </c>
      <c r="L79" s="243">
        <f>I79+K79</f>
        <v>1</v>
      </c>
      <c r="M79" s="72">
        <v>0</v>
      </c>
      <c r="N79" s="635"/>
      <c r="O79" s="638"/>
      <c r="P79" s="640"/>
      <c r="Q79" s="260" t="s">
        <v>39</v>
      </c>
      <c r="R79" s="208" t="s">
        <v>210</v>
      </c>
      <c r="S79" s="262">
        <v>1</v>
      </c>
      <c r="T79" s="5">
        <f>(1-I79)*(7/7)</f>
        <v>1</v>
      </c>
      <c r="U79" s="5" t="s">
        <v>31</v>
      </c>
      <c r="V79" s="5">
        <f>(G79/C74)*M79</f>
        <v>0</v>
      </c>
    </row>
    <row r="80" spans="1:466" customHeight="1" ht="27.75">
      <c r="A80" s="641"/>
      <c r="B80" s="651"/>
      <c r="C80" s="700"/>
      <c r="D80" s="686"/>
      <c r="E80" s="694"/>
      <c r="F80" s="437" t="s">
        <v>212</v>
      </c>
      <c r="G80" s="488">
        <f>$E$78/3</f>
        <v>0.29761904761905</v>
      </c>
      <c r="H80" s="581">
        <v>0</v>
      </c>
      <c r="I80" s="582">
        <v>0</v>
      </c>
      <c r="J80" s="263">
        <f>H80-I80</f>
        <v>0</v>
      </c>
      <c r="K80" s="242">
        <v>1</v>
      </c>
      <c r="L80" s="243">
        <f>I80+K80</f>
        <v>1</v>
      </c>
      <c r="M80" s="72">
        <f>IF(K80&lt;&gt;0,J80/K80,"100%")</f>
        <v>0</v>
      </c>
      <c r="N80" s="636"/>
      <c r="O80" s="639"/>
      <c r="P80" s="633"/>
      <c r="Q80" s="264" t="s">
        <v>39</v>
      </c>
      <c r="R80" s="208" t="s">
        <v>210</v>
      </c>
      <c r="S80" s="67">
        <v>1</v>
      </c>
      <c r="T80" s="5">
        <f>(1-I80)*(7/7)</f>
        <v>1</v>
      </c>
      <c r="U80" s="5" t="s">
        <v>31</v>
      </c>
      <c r="V80" s="5">
        <f>(G80/C74)*M80</f>
        <v>0</v>
      </c>
      <c r="W80" s="5">
        <f>SUM(V74:V80)</f>
        <v>0.76083333333333</v>
      </c>
      <c r="X80" s="629">
        <f>IF((W80)&gt;=1,3.571428,IF((W80)&lt;=0,0,((W80)*3.571428)))</f>
        <v>2.71726147</v>
      </c>
    </row>
    <row r="81" spans="1:466" customHeight="1" ht="27">
      <c r="A81" s="22"/>
      <c r="B81" s="774" t="s">
        <v>213</v>
      </c>
      <c r="C81" s="774"/>
      <c r="D81" s="774"/>
      <c r="E81" s="774"/>
      <c r="F81" s="774"/>
      <c r="G81" s="265"/>
      <c r="H81" s="559"/>
      <c r="I81" s="560"/>
      <c r="J81" s="265"/>
      <c r="K81" s="266"/>
      <c r="L81" s="266"/>
      <c r="M81" s="267"/>
      <c r="N81" s="35">
        <f>N82</f>
        <v>1.1216216216216</v>
      </c>
      <c r="O81" s="36">
        <f>O82</f>
        <v>3.571428</v>
      </c>
      <c r="P81" s="37">
        <f>O81/3.571428</f>
        <v>1</v>
      </c>
      <c r="Q81" s="236"/>
      <c r="R81" s="268"/>
      <c r="S81" s="268"/>
    </row>
    <row r="82" spans="1:466" customHeight="1" ht="57.6">
      <c r="A82" s="47">
        <v>17</v>
      </c>
      <c r="B82" s="489" t="s">
        <v>214</v>
      </c>
      <c r="C82" s="455">
        <f>M6</f>
        <v>3.5714285714286</v>
      </c>
      <c r="D82" s="489" t="s">
        <v>215</v>
      </c>
      <c r="E82" s="455">
        <f>C82</f>
        <v>3.5714285714286</v>
      </c>
      <c r="F82" s="489" t="s">
        <v>216</v>
      </c>
      <c r="G82" s="490">
        <f>E82/1</f>
        <v>3.5714285714286</v>
      </c>
      <c r="H82" s="583">
        <v>0.255</v>
      </c>
      <c r="I82" s="584">
        <v>0.67</v>
      </c>
      <c r="J82" s="269">
        <f>IF(I82=H82,(H82-0.3),I82-H82)</f>
        <v>0.415</v>
      </c>
      <c r="K82" s="270">
        <v>0.37</v>
      </c>
      <c r="L82" s="271">
        <f>I82+K82</f>
        <v>1.04</v>
      </c>
      <c r="M82" s="59">
        <f>IF(AND(ISBLANK(H82)=TRUE, ISBLANK(I82)=TRUE),0, IF(I82&lt;=0.3,(1-(0.3-H82)/30),(J82/K82)))</f>
        <v>1.1216216216216</v>
      </c>
      <c r="N82" s="272">
        <f>((G82/C82)*M82)</f>
        <v>1.1216216216216</v>
      </c>
      <c r="O82" s="142">
        <f>IF(((G82/C82)*M82)&gt;=1,3.571428,IF(((G82/C82)*M82)&lt;=0,0,((G82/C82)*M82)*3.571428))</f>
        <v>3.571428</v>
      </c>
      <c r="P82" s="37">
        <f>O82/3.571428</f>
        <v>1</v>
      </c>
      <c r="Q82" s="273" t="s">
        <v>217</v>
      </c>
      <c r="R82" s="149" t="s">
        <v>199</v>
      </c>
      <c r="S82" s="149">
        <v>1.04</v>
      </c>
      <c r="T82" s="5">
        <f>IF(I82&lt;=0.3,0,((I82-0.3)*(10/10)))</f>
        <v>0.37</v>
      </c>
      <c r="U82" s="5" t="s">
        <v>31</v>
      </c>
    </row>
    <row r="83" spans="1:466" customHeight="1" ht="22.35">
      <c r="A83" s="22"/>
      <c r="B83" s="777" t="s">
        <v>218</v>
      </c>
      <c r="C83" s="777"/>
      <c r="D83" s="777"/>
      <c r="E83" s="777"/>
      <c r="F83" s="777"/>
      <c r="G83" s="303"/>
      <c r="H83" s="585"/>
      <c r="I83" s="586"/>
      <c r="J83" s="274"/>
      <c r="K83" s="275"/>
      <c r="L83" s="275"/>
      <c r="M83" s="276"/>
      <c r="N83" s="35">
        <f>(N84+N86+N88)/3</f>
        <v>0.25266666666667</v>
      </c>
      <c r="O83" s="36">
        <f>(O84+O86+O88)</f>
        <v>7.14296</v>
      </c>
      <c r="P83" s="37">
        <f>O83/10.714284</f>
        <v>0.66667637333489</v>
      </c>
      <c r="Q83" s="276"/>
      <c r="R83" s="277"/>
      <c r="S83" s="277"/>
    </row>
    <row r="84" spans="1:466" customHeight="1" ht="20.7">
      <c r="A84" s="22"/>
      <c r="B84" s="773" t="s">
        <v>219</v>
      </c>
      <c r="C84" s="773"/>
      <c r="D84" s="773"/>
      <c r="E84" s="773"/>
      <c r="F84" s="773"/>
      <c r="G84" s="254"/>
      <c r="H84" s="587"/>
      <c r="I84" s="588"/>
      <c r="J84" s="100"/>
      <c r="K84" s="100"/>
      <c r="L84" s="100"/>
      <c r="M84" s="267"/>
      <c r="N84" s="35">
        <f>N85</f>
        <v>-1.25</v>
      </c>
      <c r="O84" s="36">
        <f>O85</f>
        <v>0</v>
      </c>
      <c r="P84" s="37">
        <f>O84/3.571428</f>
        <v>0</v>
      </c>
      <c r="Q84" s="278"/>
      <c r="R84" s="279"/>
      <c r="S84" s="279"/>
    </row>
    <row r="85" spans="1:466" customHeight="1" ht="52.35">
      <c r="A85" s="47">
        <v>18</v>
      </c>
      <c r="B85" s="489" t="s">
        <v>220</v>
      </c>
      <c r="C85" s="493">
        <f>M6</f>
        <v>3.5714285714286</v>
      </c>
      <c r="D85" s="492" t="s">
        <v>221</v>
      </c>
      <c r="E85" s="529">
        <f>C85</f>
        <v>3.5714285714286</v>
      </c>
      <c r="F85" s="492" t="s">
        <v>222</v>
      </c>
      <c r="G85" s="491">
        <f>E85/1</f>
        <v>3.5714285714286</v>
      </c>
      <c r="H85" s="543">
        <v>13</v>
      </c>
      <c r="I85" s="544">
        <v>8</v>
      </c>
      <c r="J85" s="280">
        <f>I85-H85</f>
        <v>-5</v>
      </c>
      <c r="K85" s="281">
        <v>4</v>
      </c>
      <c r="L85" s="282">
        <f>I85-K85</f>
        <v>4</v>
      </c>
      <c r="M85" s="140">
        <v>-1.25</v>
      </c>
      <c r="N85" s="272">
        <f>((G85/C85)*M85)</f>
        <v>-1.25</v>
      </c>
      <c r="O85" s="142">
        <f>IF(((G85/C85)*M85)&gt;=1,3.571428,IF(((G85/C85)*M85)&lt;=0,0,((G85/C85)*M85)*3.571428))</f>
        <v>0</v>
      </c>
      <c r="P85" s="37">
        <f>O85/3.571428</f>
        <v>0</v>
      </c>
      <c r="Q85" s="283" t="s">
        <v>223</v>
      </c>
      <c r="R85" s="284" t="s">
        <v>224</v>
      </c>
      <c r="S85" s="285">
        <v>12</v>
      </c>
      <c r="T85" s="5">
        <f>(0.5*I85)*1</f>
        <v>4</v>
      </c>
      <c r="U85" s="5" t="s">
        <v>31</v>
      </c>
    </row>
    <row r="86" spans="1:466" customHeight="1" ht="20.7">
      <c r="A86" s="22"/>
      <c r="B86" s="773" t="s">
        <v>225</v>
      </c>
      <c r="C86" s="773"/>
      <c r="D86" s="773"/>
      <c r="E86" s="773"/>
      <c r="F86" s="773"/>
      <c r="G86" s="499"/>
      <c r="H86" s="565"/>
      <c r="I86" s="566"/>
      <c r="J86" s="155"/>
      <c r="K86" s="156"/>
      <c r="L86" s="156"/>
      <c r="M86" s="157"/>
      <c r="N86" s="35">
        <f>N87</f>
        <v>1.008</v>
      </c>
      <c r="O86" s="36">
        <f>O87</f>
        <v>3.57148</v>
      </c>
      <c r="P86" s="37">
        <f>O86/3.571428</f>
        <v>1.0000145600023</v>
      </c>
      <c r="Q86" s="172"/>
      <c r="R86" s="173"/>
      <c r="S86" s="173"/>
    </row>
    <row r="87" spans="1:466" customHeight="1" ht="23.25">
      <c r="A87" s="47">
        <v>19</v>
      </c>
      <c r="B87" s="465" t="s">
        <v>226</v>
      </c>
      <c r="C87" s="494">
        <f>M6</f>
        <v>3.5714285714286</v>
      </c>
      <c r="D87" s="495" t="s">
        <v>227</v>
      </c>
      <c r="E87" s="496">
        <f>$C$87</f>
        <v>3.5714285714286</v>
      </c>
      <c r="F87" s="497" t="s">
        <v>228</v>
      </c>
      <c r="G87" s="498">
        <v>3.6</v>
      </c>
      <c r="H87" s="571">
        <v>0</v>
      </c>
      <c r="I87" s="589">
        <v>0</v>
      </c>
      <c r="J87" s="286">
        <f>I87-H87</f>
        <v>0</v>
      </c>
      <c r="K87" s="201">
        <v>0</v>
      </c>
      <c r="L87" s="287">
        <f>I87-K87</f>
        <v>0</v>
      </c>
      <c r="M87" s="51">
        <v>1</v>
      </c>
      <c r="N87" s="203">
        <f>(G87/C87)*M87</f>
        <v>1.008</v>
      </c>
      <c r="O87" s="288">
        <f>IF(((G87/C87)*M87)&gt;=1,3.57148,IF((G87/C87)*M87&lt;=0,0,(G87/C87)*M87*3.571428))</f>
        <v>3.57148</v>
      </c>
      <c r="P87" s="64">
        <f>O87/3.571428</f>
        <v>1.0000145600023</v>
      </c>
      <c r="Q87" s="289" t="s">
        <v>39</v>
      </c>
      <c r="R87" s="284" t="s">
        <v>224</v>
      </c>
      <c r="S87" s="239">
        <v>0</v>
      </c>
      <c r="T87" s="5">
        <f>IF(I87&gt;0,(I87-0),0)</f>
        <v>0</v>
      </c>
      <c r="U87" s="5" t="s">
        <v>31</v>
      </c>
    </row>
    <row r="88" spans="1:466" customHeight="1" ht="30.75">
      <c r="A88" s="22"/>
      <c r="B88" s="773" t="s">
        <v>229</v>
      </c>
      <c r="C88" s="773"/>
      <c r="D88" s="773"/>
      <c r="E88" s="773"/>
      <c r="F88" s="773"/>
      <c r="G88" s="100"/>
      <c r="H88" s="590"/>
      <c r="I88" s="591"/>
      <c r="J88" s="100"/>
      <c r="K88" s="100"/>
      <c r="L88" s="100"/>
      <c r="M88" s="101"/>
      <c r="N88" s="35">
        <f>N89</f>
        <v>1</v>
      </c>
      <c r="O88" s="36">
        <f>O89</f>
        <v>3.57148</v>
      </c>
      <c r="P88" s="37">
        <f>O88/3.571428</f>
        <v>1.0000145600023</v>
      </c>
      <c r="Q88" s="236"/>
      <c r="R88" s="290"/>
      <c r="S88" s="290"/>
    </row>
    <row r="89" spans="1:466" customHeight="1" ht="29.7">
      <c r="A89" s="47">
        <v>20</v>
      </c>
      <c r="B89" s="685" t="s">
        <v>230</v>
      </c>
      <c r="C89" s="687">
        <f>M6</f>
        <v>3.5714285714286</v>
      </c>
      <c r="D89" s="688" t="s">
        <v>231</v>
      </c>
      <c r="E89" s="466">
        <f>$C$89/1</f>
        <v>3.5714285714286</v>
      </c>
      <c r="F89" s="497" t="s">
        <v>232</v>
      </c>
      <c r="G89" s="500">
        <f>E89/1</f>
        <v>3.5714285714286</v>
      </c>
      <c r="H89" s="571">
        <v>1</v>
      </c>
      <c r="I89" s="589">
        <v>0</v>
      </c>
      <c r="J89" s="291">
        <f>H89-I89</f>
        <v>1</v>
      </c>
      <c r="K89" s="220">
        <v>1</v>
      </c>
      <c r="L89" s="292">
        <f>I89+K89</f>
        <v>1</v>
      </c>
      <c r="M89" s="293">
        <v>1</v>
      </c>
      <c r="N89" s="681">
        <f>(((G89/C89)*M89)+((G90/C89)*M90))</f>
        <v>1</v>
      </c>
      <c r="O89" s="683">
        <f>X90</f>
        <v>3.57148</v>
      </c>
      <c r="P89" s="632">
        <f>O89/3.571428</f>
        <v>1.0000145600023</v>
      </c>
      <c r="Q89" s="294" t="s">
        <v>39</v>
      </c>
      <c r="R89" s="284" t="s">
        <v>224</v>
      </c>
      <c r="S89" s="149">
        <v>1</v>
      </c>
      <c r="T89" s="5">
        <f>IF(I89=0,1,1-I89)</f>
        <v>1</v>
      </c>
      <c r="U89" s="5" t="s">
        <v>31</v>
      </c>
      <c r="V89" s="5">
        <f>(G89/C89)*M89</f>
        <v>1</v>
      </c>
    </row>
    <row r="90" spans="1:466" customHeight="1" ht="29.7">
      <c r="A90" s="47"/>
      <c r="B90" s="686"/>
      <c r="C90" s="639"/>
      <c r="D90" s="689"/>
      <c r="E90" s="474"/>
      <c r="F90" s="497" t="s">
        <v>233</v>
      </c>
      <c r="G90" s="501">
        <f>E90/1</f>
        <v>0</v>
      </c>
      <c r="H90" s="592">
        <v>7</v>
      </c>
      <c r="I90" s="593">
        <v>2</v>
      </c>
      <c r="J90" s="295">
        <f>H90-I90</f>
        <v>5</v>
      </c>
      <c r="K90" s="296">
        <v>0</v>
      </c>
      <c r="L90" s="297">
        <f>I90+K90</f>
        <v>2</v>
      </c>
      <c r="M90" s="298">
        <v>0</v>
      </c>
      <c r="N90" s="682"/>
      <c r="O90" s="684"/>
      <c r="P90" s="639"/>
      <c r="Q90" s="299" t="s">
        <v>39</v>
      </c>
      <c r="R90" s="300" t="s">
        <v>234</v>
      </c>
      <c r="S90" s="67">
        <v>2</v>
      </c>
      <c r="T90" s="5">
        <f>IF(I90=0,1,0)</f>
        <v>0</v>
      </c>
      <c r="U90" s="5" t="s">
        <v>31</v>
      </c>
      <c r="V90" s="5">
        <f>(G90/C89)*M90</f>
        <v>0</v>
      </c>
      <c r="W90" s="5">
        <f>SUM(V89:V90)</f>
        <v>1</v>
      </c>
      <c r="X90" s="629">
        <f>IF((W90)&gt;=1,3.57148,IF((W90)&lt;=0,0, (W90)*3.571428))</f>
        <v>3.57148</v>
      </c>
    </row>
    <row r="91" spans="1:466" customHeight="1" ht="20.7">
      <c r="A91" s="22"/>
      <c r="B91" s="778" t="s">
        <v>235</v>
      </c>
      <c r="C91" s="778"/>
      <c r="D91" s="778"/>
      <c r="E91" s="778"/>
      <c r="F91" s="778"/>
      <c r="G91" s="303"/>
      <c r="H91" s="577"/>
      <c r="I91" s="578"/>
      <c r="J91" s="301"/>
      <c r="K91" s="302"/>
      <c r="L91" s="302"/>
      <c r="M91" s="303"/>
      <c r="N91" s="35">
        <f>N92</f>
        <v>0.43666666666667</v>
      </c>
      <c r="O91" s="36">
        <f>O92</f>
        <v>1.55952356</v>
      </c>
      <c r="P91" s="37">
        <f>O91/3.571428</f>
        <v>0.43666666666667</v>
      </c>
      <c r="Q91" s="304"/>
      <c r="R91" s="305"/>
      <c r="S91" s="305"/>
    </row>
    <row r="92" spans="1:466" customHeight="1" ht="20.7">
      <c r="A92" s="22"/>
      <c r="B92" s="773" t="s">
        <v>236</v>
      </c>
      <c r="C92" s="773"/>
      <c r="D92" s="773"/>
      <c r="E92" s="773"/>
      <c r="F92" s="773"/>
      <c r="G92" s="254"/>
      <c r="H92" s="565"/>
      <c r="I92" s="566"/>
      <c r="J92" s="115"/>
      <c r="K92" s="116"/>
      <c r="L92" s="116"/>
      <c r="M92" s="101"/>
      <c r="N92" s="35">
        <f>N93</f>
        <v>0.43666666666667</v>
      </c>
      <c r="O92" s="36">
        <f>O93</f>
        <v>1.55952356</v>
      </c>
      <c r="P92" s="37">
        <f>O92/3.571428</f>
        <v>0.43666666666667</v>
      </c>
      <c r="Q92" s="278"/>
      <c r="R92" s="279"/>
      <c r="S92" s="279"/>
    </row>
    <row r="93" spans="1:466" customHeight="1" ht="34.8">
      <c r="A93" s="47">
        <v>21</v>
      </c>
      <c r="B93" s="468" t="s">
        <v>237</v>
      </c>
      <c r="C93" s="503">
        <f>M6</f>
        <v>3.5714285714286</v>
      </c>
      <c r="D93" s="502" t="s">
        <v>238</v>
      </c>
      <c r="E93" s="503">
        <f>C93</f>
        <v>3.5714285714286</v>
      </c>
      <c r="F93" s="502" t="s">
        <v>239</v>
      </c>
      <c r="G93" s="504">
        <f>E93/1</f>
        <v>3.5714285714286</v>
      </c>
      <c r="H93" s="594">
        <v>0.393</v>
      </c>
      <c r="I93" s="595">
        <v>0.3</v>
      </c>
      <c r="J93" s="306">
        <f>IF(I93=H93,(H93-0.6),H93-I93)</f>
        <v>0.093</v>
      </c>
      <c r="K93" s="307">
        <v>0.6</v>
      </c>
      <c r="L93" s="271">
        <f>K93+I93</f>
        <v>0.9</v>
      </c>
      <c r="M93" s="140">
        <f>IF(I93&gt;=0.6,(1+(H93-0.6)/60),(H93/L93))</f>
        <v>0.43666666666667</v>
      </c>
      <c r="N93" s="272">
        <f>((G93/C93)*M93)</f>
        <v>0.43666666666667</v>
      </c>
      <c r="O93" s="142">
        <f>IF(((G93/C93)*M93)&gt;=1,3.571428,IF(((G93/C93)*M93)&lt;=0,0,((G93/C93)*M93)*3.571428))</f>
        <v>1.55952356</v>
      </c>
      <c r="P93" s="37">
        <f>O93/3.571428</f>
        <v>0.43666666666667</v>
      </c>
      <c r="Q93" s="308" t="s">
        <v>39</v>
      </c>
      <c r="R93" s="285" t="s">
        <v>240</v>
      </c>
      <c r="S93" s="309">
        <v>0.9</v>
      </c>
      <c r="T93" s="5">
        <f>IF(I93&gt;=0.6,0,((0.6-I92)*(10/10)))</f>
        <v>0.6</v>
      </c>
      <c r="U93" s="5" t="s">
        <v>31</v>
      </c>
    </row>
    <row r="94" spans="1:466" customHeight="1" ht="21.75">
      <c r="A94" s="22"/>
      <c r="B94" s="779" t="s">
        <v>241</v>
      </c>
      <c r="C94" s="779"/>
      <c r="D94" s="779"/>
      <c r="E94" s="779"/>
      <c r="F94" s="779"/>
      <c r="G94" s="310"/>
      <c r="H94" s="577"/>
      <c r="I94" s="578"/>
      <c r="J94" s="301"/>
      <c r="K94" s="302"/>
      <c r="L94" s="302"/>
      <c r="M94" s="310"/>
      <c r="N94" s="35">
        <f>(N95+N101)/2</f>
        <v>0.37395553579563</v>
      </c>
      <c r="O94" s="36">
        <f>(O95+O101)</f>
        <v>4.3997164977692</v>
      </c>
      <c r="P94" s="37">
        <f>O94/10.714284</f>
        <v>0.4106402721609</v>
      </c>
      <c r="Q94" s="304"/>
      <c r="R94" s="311"/>
      <c r="S94" s="311"/>
    </row>
    <row r="95" spans="1:466" customHeight="1" ht="20.7">
      <c r="A95" s="22"/>
      <c r="B95" s="774" t="s">
        <v>242</v>
      </c>
      <c r="C95" s="774"/>
      <c r="D95" s="774"/>
      <c r="E95" s="774"/>
      <c r="F95" s="774"/>
      <c r="G95" s="182"/>
      <c r="H95" s="587"/>
      <c r="I95" s="588"/>
      <c r="J95" s="100"/>
      <c r="K95" s="100"/>
      <c r="L95" s="100"/>
      <c r="M95" s="182"/>
      <c r="N95" s="35">
        <f>(N96+N98)/2</f>
        <v>0.14900974489143</v>
      </c>
      <c r="O95" s="36">
        <f>(O96+O98)</f>
        <v>2.2607835303562</v>
      </c>
      <c r="P95" s="37">
        <f>O95/7.142856</f>
        <v>0.31650974489143</v>
      </c>
      <c r="Q95" s="312"/>
      <c r="R95" s="313"/>
      <c r="S95" s="313"/>
    </row>
    <row r="96" spans="1:466" customHeight="1" ht="46.2">
      <c r="A96" s="47"/>
      <c r="B96" s="677" t="s">
        <v>243</v>
      </c>
      <c r="C96" s="679">
        <f>M6</f>
        <v>3.5714285714286</v>
      </c>
      <c r="D96" s="436" t="s">
        <v>244</v>
      </c>
      <c r="E96" s="430">
        <f>$C$96/2</f>
        <v>1.7857142857143</v>
      </c>
      <c r="F96" s="479" t="s">
        <v>245</v>
      </c>
      <c r="G96" s="420">
        <f>E96/1</f>
        <v>1.7857142857143</v>
      </c>
      <c r="H96" s="596">
        <v>0</v>
      </c>
      <c r="I96" s="597">
        <v>0</v>
      </c>
      <c r="J96" s="314">
        <f>IF(I96=H96,(H96-0.5),H96-I96)</f>
        <v>-0.5</v>
      </c>
      <c r="K96" s="315">
        <v>0.5</v>
      </c>
      <c r="L96" s="316">
        <f>I96+K96</f>
        <v>0.5</v>
      </c>
      <c r="M96" s="51">
        <f>IF(AND(ISBLANK(H96)=TRUE,ISBLANK(I96)=TRUE),0,IF(AND(H96&lt;=0.5,I96&gt;0.5),(H96-I96)/I96,IF(H96&gt;=0.5,(1+(H96-0.5)/50),(J96/K96))))</f>
        <v>-1</v>
      </c>
      <c r="N96" s="634">
        <f>(((G96/C96)*M96)+((G97/C96)*M97))</f>
        <v>-0.335</v>
      </c>
      <c r="O96" s="630">
        <f>X97</f>
        <v>0</v>
      </c>
      <c r="P96" s="632">
        <f>O96/3.571428</f>
        <v>0</v>
      </c>
      <c r="Q96" s="317" t="s">
        <v>246</v>
      </c>
      <c r="R96" s="318"/>
      <c r="S96" s="204">
        <v>0.5</v>
      </c>
      <c r="T96" s="5">
        <f>IF(I96&gt;=0.5,0,((0.5-I96)*(10/10)))</f>
        <v>0.5</v>
      </c>
      <c r="U96" s="5" t="s">
        <v>31</v>
      </c>
      <c r="V96" s="5">
        <f>(G96/C96)*M96</f>
        <v>-0.5</v>
      </c>
    </row>
    <row r="97" spans="1:466" customHeight="1" ht="39.75">
      <c r="A97" s="47"/>
      <c r="B97" s="678"/>
      <c r="C97" s="680"/>
      <c r="D97" s="467" t="s">
        <v>247</v>
      </c>
      <c r="E97" s="432">
        <f>$C$96/2</f>
        <v>1.7857142857143</v>
      </c>
      <c r="F97" s="505" t="s">
        <v>248</v>
      </c>
      <c r="G97" s="471">
        <f>E97/1</f>
        <v>1.7857142857143</v>
      </c>
      <c r="H97" s="581">
        <v>0.22</v>
      </c>
      <c r="I97" s="582">
        <v>0.18</v>
      </c>
      <c r="J97" s="319">
        <f>IF(I97=H97,(H97-0.3),H97-I97)</f>
        <v>0.04</v>
      </c>
      <c r="K97" s="320">
        <v>0.12</v>
      </c>
      <c r="L97" s="321">
        <f>I97+K97</f>
        <v>0.3</v>
      </c>
      <c r="M97" s="51">
        <v>0.33</v>
      </c>
      <c r="N97" s="636"/>
      <c r="O97" s="631"/>
      <c r="P97" s="633"/>
      <c r="Q97" s="322" t="s">
        <v>249</v>
      </c>
      <c r="R97" s="323" t="s">
        <v>250</v>
      </c>
      <c r="S97" s="204">
        <v>0.3</v>
      </c>
      <c r="T97" s="5">
        <f>IF(I97&gt;=0.3,0,((0.3-I97)*(10/10)))</f>
        <v>0.12</v>
      </c>
      <c r="U97" s="5" t="s">
        <v>31</v>
      </c>
      <c r="V97" s="5">
        <f>(G97/C96)*M97</f>
        <v>0.165</v>
      </c>
      <c r="W97" s="5">
        <f>SUM(V96:V97)</f>
        <v>-0.335</v>
      </c>
      <c r="X97" s="629">
        <f>IF((W97)&gt;=1,3.57148,IF((W97)&lt;=0,0, (W97)*3.571428))</f>
        <v>0</v>
      </c>
    </row>
    <row r="98" spans="1:466" customHeight="1" ht="60">
      <c r="A98" s="47"/>
      <c r="B98" s="669" t="s">
        <v>251</v>
      </c>
      <c r="C98" s="671">
        <f>M6</f>
        <v>3.5714285714286</v>
      </c>
      <c r="D98" s="506" t="s">
        <v>252</v>
      </c>
      <c r="E98" s="430">
        <f>$C$96/3</f>
        <v>1.1904761904762</v>
      </c>
      <c r="F98" s="436" t="s">
        <v>253</v>
      </c>
      <c r="G98" s="458">
        <f>E98/1</f>
        <v>1.1904761904762</v>
      </c>
      <c r="H98" s="598">
        <v>0.73</v>
      </c>
      <c r="I98" s="599">
        <v>0.85</v>
      </c>
      <c r="J98" s="324">
        <f>I98-H98</f>
        <v>0.12</v>
      </c>
      <c r="K98" s="325">
        <v>0.17</v>
      </c>
      <c r="L98" s="326">
        <f>I98-K98</f>
        <v>0.68</v>
      </c>
      <c r="M98" s="327">
        <f>IF(AND(ISBLANK(H98)=TRUE,ISBLANK(I98)=TRUE),0,IF(AND(H98=0,I98=0),1,IF(AND(H98&gt;0,I98=0),(I98-H98)*0.2,IF(K98&lt;&gt;0,J98/K98))))</f>
        <v>0.70588235294118</v>
      </c>
      <c r="N98" s="674">
        <f>(((G98/C98)*M98)+((G99/C98)*M99)+((G100/C98)*M100))</f>
        <v>0.63301948978287</v>
      </c>
      <c r="O98" s="637">
        <f>X100</f>
        <v>2.2607835303562</v>
      </c>
      <c r="P98" s="632">
        <f>O98/3.571428</f>
        <v>0.63301948978287</v>
      </c>
      <c r="Q98" s="317" t="s">
        <v>254</v>
      </c>
      <c r="R98" s="328" t="s">
        <v>255</v>
      </c>
      <c r="S98" s="204">
        <v>0.68</v>
      </c>
      <c r="T98" s="5">
        <f>(0.2*I98)*(10/10)</f>
        <v>0.17</v>
      </c>
      <c r="U98" s="5" t="s">
        <v>31</v>
      </c>
      <c r="V98" s="5">
        <f>(G98/C98)*M98</f>
        <v>0.23529411764706</v>
      </c>
    </row>
    <row r="99" spans="1:466" customHeight="1" ht="45">
      <c r="A99" s="47"/>
      <c r="B99" s="669"/>
      <c r="C99" s="672"/>
      <c r="D99" s="507" t="s">
        <v>256</v>
      </c>
      <c r="E99" s="431">
        <f>$C$96/3</f>
        <v>1.1904761904762</v>
      </c>
      <c r="F99" s="480" t="s">
        <v>257</v>
      </c>
      <c r="G99" s="459">
        <f>E99/1</f>
        <v>1.1904761904762</v>
      </c>
      <c r="H99" s="543">
        <v>0</v>
      </c>
      <c r="I99" s="544">
        <v>0</v>
      </c>
      <c r="J99" s="263">
        <f>I99-H99</f>
        <v>0</v>
      </c>
      <c r="K99" s="329">
        <v>0</v>
      </c>
      <c r="L99" s="330">
        <f>I99-K99</f>
        <v>0</v>
      </c>
      <c r="M99" s="327">
        <f>IF(AND(ISBLANK(H99)=TRUE,ISBLANK(I99)=TRUE),0,IF(AND(H99=0,I99=0),1,IF(AND(H99&gt;0,I99=0),(I99-H99)*0.5,IF(K99&lt;&gt;0,J99/K99))))</f>
        <v>1</v>
      </c>
      <c r="N99" s="675"/>
      <c r="O99" s="638"/>
      <c r="P99" s="640"/>
      <c r="Q99" s="331" t="s">
        <v>258</v>
      </c>
      <c r="R99" s="332" t="s">
        <v>145</v>
      </c>
      <c r="S99" s="204">
        <v>0</v>
      </c>
      <c r="T99" s="5">
        <f>(0.5*I99)*(10/10)</f>
        <v>0</v>
      </c>
      <c r="U99" s="5" t="s">
        <v>31</v>
      </c>
      <c r="V99" s="5">
        <f>(G99/C98)*M99</f>
        <v>0.33333333333333</v>
      </c>
    </row>
    <row r="100" spans="1:466" customHeight="1" ht="38.7">
      <c r="A100" s="47"/>
      <c r="B100" s="670"/>
      <c r="C100" s="673"/>
      <c r="D100" s="508" t="s">
        <v>259</v>
      </c>
      <c r="E100" s="432">
        <f>$C$96/3</f>
        <v>1.1904761904762</v>
      </c>
      <c r="F100" s="505" t="s">
        <v>260</v>
      </c>
      <c r="G100" s="460">
        <f>E100/1</f>
        <v>1.1904761904762</v>
      </c>
      <c r="H100" s="581">
        <v>0.196</v>
      </c>
      <c r="I100" s="582">
        <v>0.0035</v>
      </c>
      <c r="J100" s="333">
        <f>H100-I100</f>
        <v>0.1925</v>
      </c>
      <c r="K100" s="334">
        <v>0.9965</v>
      </c>
      <c r="L100" s="335">
        <f>I100+K100</f>
        <v>1</v>
      </c>
      <c r="M100" s="327">
        <f>IF(H100=1,1, IF(K100&lt;&gt;0,J100/K100,"0%"))</f>
        <v>0.19317611640743</v>
      </c>
      <c r="N100" s="676"/>
      <c r="O100" s="639"/>
      <c r="P100" s="633"/>
      <c r="Q100" s="322" t="s">
        <v>261</v>
      </c>
      <c r="R100" s="336" t="s">
        <v>262</v>
      </c>
      <c r="S100" s="204">
        <v>1</v>
      </c>
      <c r="T100" s="5">
        <f>(1-I100)*(7/7)</f>
        <v>0.9965</v>
      </c>
      <c r="U100" s="5" t="s">
        <v>31</v>
      </c>
      <c r="V100" s="5">
        <f>(G100/C98)*M100</f>
        <v>0.064392038802475</v>
      </c>
      <c r="W100" s="5">
        <f>SUM(V98:V100)</f>
        <v>0.63301948978287</v>
      </c>
      <c r="X100" s="629">
        <f>IF((W100)&gt;=1,3.571428,IF((W100)&lt;=0,0,(W100)*3.571428))</f>
        <v>2.2607835303562</v>
      </c>
    </row>
    <row r="101" spans="1:466" customHeight="1" ht="20.7">
      <c r="A101" s="22"/>
      <c r="B101" s="780" t="s">
        <v>263</v>
      </c>
      <c r="C101" s="780"/>
      <c r="D101" s="780"/>
      <c r="E101" s="780"/>
      <c r="F101" s="780"/>
      <c r="G101" s="267"/>
      <c r="H101" s="559"/>
      <c r="I101" s="560"/>
      <c r="J101" s="337"/>
      <c r="K101" s="338"/>
      <c r="L101" s="338"/>
      <c r="M101" s="182"/>
      <c r="N101" s="35">
        <f>N102</f>
        <v>0.59890132669983</v>
      </c>
      <c r="O101" s="36">
        <f>O102</f>
        <v>2.1389329674129</v>
      </c>
      <c r="P101" s="37">
        <f>O101/3.571428</f>
        <v>0.59890132669983</v>
      </c>
      <c r="Q101" s="266"/>
      <c r="R101" s="339"/>
      <c r="S101" s="339"/>
    </row>
    <row r="102" spans="1:466" customHeight="1" ht="27.75">
      <c r="A102" s="658">
        <v>24</v>
      </c>
      <c r="B102" s="659" t="s">
        <v>264</v>
      </c>
      <c r="C102" s="661">
        <f>M6</f>
        <v>3.5714285714286</v>
      </c>
      <c r="D102" s="462" t="s">
        <v>265</v>
      </c>
      <c r="E102" s="457">
        <f>($C$102/3)</f>
        <v>1.1904761904762</v>
      </c>
      <c r="F102" s="512" t="s">
        <v>266</v>
      </c>
      <c r="G102" s="509">
        <f>E102/1</f>
        <v>1.1904761904762</v>
      </c>
      <c r="H102" s="561">
        <v>0.582</v>
      </c>
      <c r="I102" s="600">
        <v>0.64</v>
      </c>
      <c r="J102" s="340">
        <f>I102-H102</f>
        <v>0.058</v>
      </c>
      <c r="K102" s="179">
        <v>0.16</v>
      </c>
      <c r="L102" s="180">
        <f>I102-K102</f>
        <v>0.48</v>
      </c>
      <c r="M102" s="51">
        <f>IF(K102&lt;&gt;0,J102/K102,"0%")</f>
        <v>0.3625</v>
      </c>
      <c r="N102" s="664">
        <f>(((G102/C102)*M102)+((G103/C102)*M103)+((G104/C102)*M104)+((G105/C102)*M105)+((G106/C102)*M106))</f>
        <v>0.59890132669983</v>
      </c>
      <c r="O102" s="637">
        <f>X106</f>
        <v>2.1389329674129</v>
      </c>
      <c r="P102" s="632">
        <f>O102/3.571428</f>
        <v>0.59890132669983</v>
      </c>
      <c r="Q102" s="341" t="s">
        <v>267</v>
      </c>
      <c r="R102" s="342" t="s">
        <v>35</v>
      </c>
      <c r="S102" s="204">
        <v>0.48</v>
      </c>
      <c r="T102" s="5">
        <f>(0.25*I102)*(10/10)</f>
        <v>0.16</v>
      </c>
      <c r="U102" s="5" t="s">
        <v>31</v>
      </c>
      <c r="V102" s="5">
        <f>(G102/C102)*M102</f>
        <v>0.12083333333333</v>
      </c>
    </row>
    <row r="103" spans="1:466" customHeight="1" ht="25.95">
      <c r="A103" s="658"/>
      <c r="B103" s="659"/>
      <c r="C103" s="662"/>
      <c r="D103" s="667" t="s">
        <v>268</v>
      </c>
      <c r="E103" s="668">
        <f>C102/3</f>
        <v>1.1904761904762</v>
      </c>
      <c r="F103" s="611" t="s">
        <v>269</v>
      </c>
      <c r="G103" s="510">
        <f>$E$103/3</f>
        <v>0.3968253968254</v>
      </c>
      <c r="H103" s="547">
        <v>0.082</v>
      </c>
      <c r="I103" s="548">
        <v>0.67</v>
      </c>
      <c r="J103" s="343">
        <f>I103-H103</f>
        <v>0.588</v>
      </c>
      <c r="K103" s="110">
        <v>0.67</v>
      </c>
      <c r="L103" s="90">
        <f>I103-K103</f>
        <v>0</v>
      </c>
      <c r="M103" s="72">
        <f>IF(K103&lt;&gt;0,J103/K103,"0%")</f>
        <v>0.87761194029851</v>
      </c>
      <c r="N103" s="665"/>
      <c r="O103" s="638"/>
      <c r="P103" s="640"/>
      <c r="Q103" s="344" t="s">
        <v>270</v>
      </c>
      <c r="R103" s="345" t="s">
        <v>35</v>
      </c>
      <c r="S103" s="204">
        <v>1.34</v>
      </c>
      <c r="T103" s="5">
        <f>I103*(10/10)</f>
        <v>0.67</v>
      </c>
      <c r="U103" s="5" t="s">
        <v>31</v>
      </c>
      <c r="V103" s="5">
        <f>(G103/C102)*M103</f>
        <v>0.097512437810945</v>
      </c>
    </row>
    <row r="104" spans="1:466" customHeight="1" ht="59.7">
      <c r="A104" s="658"/>
      <c r="B104" s="659"/>
      <c r="C104" s="662"/>
      <c r="D104" s="667"/>
      <c r="E104" s="668"/>
      <c r="F104" s="441" t="s">
        <v>271</v>
      </c>
      <c r="G104" s="510">
        <f>$E$103/3</f>
        <v>0.3968253968254</v>
      </c>
      <c r="H104" s="547">
        <v>0.023</v>
      </c>
      <c r="I104" s="548">
        <v>0.04</v>
      </c>
      <c r="J104" s="343">
        <f>I104-H104</f>
        <v>0.017</v>
      </c>
      <c r="K104" s="110">
        <v>0.04</v>
      </c>
      <c r="L104" s="90">
        <f>I104-K104</f>
        <v>0</v>
      </c>
      <c r="M104" s="72">
        <f>IF(K104&lt;&gt;0,J104/K104,"0%")</f>
        <v>0.425</v>
      </c>
      <c r="N104" s="665"/>
      <c r="O104" s="638"/>
      <c r="P104" s="640"/>
      <c r="Q104" s="344" t="s">
        <v>272</v>
      </c>
      <c r="R104" s="336" t="s">
        <v>262</v>
      </c>
      <c r="S104" s="204">
        <v>0.08</v>
      </c>
      <c r="T104" s="5">
        <f>I104*(10/10)</f>
        <v>0.04</v>
      </c>
      <c r="U104" s="5" t="s">
        <v>31</v>
      </c>
      <c r="V104" s="5">
        <f>(G104/C102)*M104</f>
        <v>0.047222222222222</v>
      </c>
    </row>
    <row r="105" spans="1:466" customHeight="1" ht="26.7">
      <c r="A105" s="658"/>
      <c r="B105" s="659"/>
      <c r="C105" s="662"/>
      <c r="D105" s="667"/>
      <c r="E105" s="668"/>
      <c r="F105" s="441" t="s">
        <v>273</v>
      </c>
      <c r="G105" s="510">
        <f>$E$103/3</f>
        <v>0.3968253968254</v>
      </c>
      <c r="H105" s="535">
        <v>0</v>
      </c>
      <c r="I105" s="536">
        <v>0</v>
      </c>
      <c r="J105" s="343">
        <f>I105-H105</f>
        <v>0</v>
      </c>
      <c r="K105" s="224">
        <v>0</v>
      </c>
      <c r="L105" s="261">
        <f>I105-K105</f>
        <v>0</v>
      </c>
      <c r="M105" s="327">
        <v>0</v>
      </c>
      <c r="N105" s="665"/>
      <c r="O105" s="638"/>
      <c r="P105" s="640"/>
      <c r="Q105" s="346" t="s">
        <v>274</v>
      </c>
      <c r="R105" s="345" t="s">
        <v>224</v>
      </c>
      <c r="S105" s="204">
        <v>0</v>
      </c>
      <c r="T105" s="5">
        <f>(I105)*(10/10)</f>
        <v>0</v>
      </c>
      <c r="U105" s="5" t="s">
        <v>31</v>
      </c>
      <c r="V105" s="5">
        <f>(G105/C102)*M105</f>
        <v>0</v>
      </c>
    </row>
    <row r="106" spans="1:466" customHeight="1" ht="40.95">
      <c r="A106" s="658"/>
      <c r="B106" s="660"/>
      <c r="C106" s="663"/>
      <c r="D106" s="447" t="s">
        <v>275</v>
      </c>
      <c r="E106" s="432">
        <f>$C$102/3</f>
        <v>1.1904761904762</v>
      </c>
      <c r="F106" s="513" t="s">
        <v>276</v>
      </c>
      <c r="G106" s="511">
        <f>E106/1</f>
        <v>1.1904761904762</v>
      </c>
      <c r="H106" s="581">
        <v>1</v>
      </c>
      <c r="I106" s="582">
        <v>0</v>
      </c>
      <c r="J106" s="347">
        <f>H106-I106</f>
        <v>1</v>
      </c>
      <c r="K106" s="296">
        <v>1</v>
      </c>
      <c r="L106" s="348">
        <f>100</f>
        <v>100</v>
      </c>
      <c r="M106" s="59">
        <f>IF(AND(ISBLANK(H106)=TRUE,ISBLANK(I106)=TRUE),0,IF(AND(H106=100,I106=100),1,IF(AND(H106=1,I106&lt;&gt;0),1+(H106-I106)/I106,IF(K106&lt;&gt;0,J106/K106))))</f>
        <v>1</v>
      </c>
      <c r="N106" s="666"/>
      <c r="O106" s="639"/>
      <c r="P106" s="633"/>
      <c r="Q106" s="349" t="s">
        <v>39</v>
      </c>
      <c r="R106" s="350"/>
      <c r="S106" s="250">
        <v>1</v>
      </c>
      <c r="T106" s="5">
        <f>IF(I106=0,1,100-I106)</f>
        <v>1</v>
      </c>
      <c r="U106" s="5" t="s">
        <v>31</v>
      </c>
      <c r="V106" s="5">
        <f>(G106/C102)*M106</f>
        <v>0.33333333333333</v>
      </c>
      <c r="W106" s="5">
        <f>SUM(V102:V106)</f>
        <v>0.59890132669983</v>
      </c>
      <c r="X106" s="629">
        <f>IF((W106)&gt;=1,3.571428,IF((W106)&lt;=0,0,((W106)*3.571428)))</f>
        <v>2.1389329674129</v>
      </c>
    </row>
    <row r="107" spans="1:466" customHeight="1" ht="14.7">
      <c r="A107" s="22"/>
      <c r="B107" s="779" t="s">
        <v>277</v>
      </c>
      <c r="C107" s="779"/>
      <c r="D107" s="779"/>
      <c r="E107" s="779"/>
      <c r="F107" s="779"/>
      <c r="G107" s="352"/>
      <c r="H107" s="569"/>
      <c r="I107" s="570"/>
      <c r="J107" s="351"/>
      <c r="K107" s="352"/>
      <c r="L107" s="352"/>
      <c r="M107" s="303"/>
      <c r="N107" s="35">
        <f>(N108+N112)/2</f>
        <v>0.45643441767364</v>
      </c>
      <c r="O107" s="36">
        <f>(O108+O112)</f>
        <v>5.4293409221773</v>
      </c>
      <c r="P107" s="37">
        <f>O107/14.285712</f>
        <v>0.38005392536104</v>
      </c>
      <c r="Q107" s="195"/>
      <c r="R107" s="196"/>
      <c r="S107" s="196"/>
    </row>
    <row r="108" spans="1:466" customHeight="1" ht="20.7">
      <c r="A108" s="22"/>
      <c r="B108" s="774" t="s">
        <v>278</v>
      </c>
      <c r="C108" s="774"/>
      <c r="D108" s="774"/>
      <c r="E108" s="774"/>
      <c r="F108" s="774"/>
      <c r="G108" s="254"/>
      <c r="H108" s="565"/>
      <c r="I108" s="566"/>
      <c r="J108" s="116"/>
      <c r="K108" s="116"/>
      <c r="L108" s="116"/>
      <c r="M108" s="182"/>
      <c r="N108" s="35">
        <f>N109</f>
        <v>0.60919540229885</v>
      </c>
      <c r="O108" s="36">
        <f>O109</f>
        <v>2.1756975172414</v>
      </c>
      <c r="P108" s="37">
        <f>O108/3.571428</f>
        <v>0.60919540229885</v>
      </c>
      <c r="Q108" s="183"/>
      <c r="R108" s="353"/>
      <c r="S108" s="255"/>
    </row>
    <row r="109" spans="1:466" customHeight="1" ht="34.95">
      <c r="A109" s="641">
        <v>25</v>
      </c>
      <c r="B109" s="649" t="s">
        <v>279</v>
      </c>
      <c r="C109" s="652">
        <f>M6</f>
        <v>3.5714285714286</v>
      </c>
      <c r="D109" s="655" t="s">
        <v>280</v>
      </c>
      <c r="E109" s="515">
        <f>$C$109/3</f>
        <v>1.1904761904762</v>
      </c>
      <c r="F109" s="480" t="s">
        <v>281</v>
      </c>
      <c r="G109" s="514">
        <f>E109/1</f>
        <v>1.1904761904762</v>
      </c>
      <c r="H109" s="596">
        <v>1</v>
      </c>
      <c r="I109" s="601">
        <v>1</v>
      </c>
      <c r="J109" s="286">
        <f>H109-I109</f>
        <v>0</v>
      </c>
      <c r="K109" s="220">
        <v>0</v>
      </c>
      <c r="L109" s="316">
        <f>I109+K109</f>
        <v>1</v>
      </c>
      <c r="M109" s="51">
        <v>1</v>
      </c>
      <c r="N109" s="634">
        <f>(((G109/C109)*M109)+((G110/C109)*M110)+((G111/C109)*M111))</f>
        <v>0.60919540229885</v>
      </c>
      <c r="O109" s="637">
        <f>X111</f>
        <v>2.1756975172414</v>
      </c>
      <c r="P109" s="632">
        <f>O109/3.571428</f>
        <v>0.60919540229885</v>
      </c>
      <c r="Q109" s="354" t="s">
        <v>282</v>
      </c>
      <c r="R109" s="181"/>
      <c r="S109" s="355">
        <v>1</v>
      </c>
      <c r="T109" s="5">
        <f>IF(I109=0,1,1-I109)</f>
        <v>0</v>
      </c>
      <c r="U109" s="5" t="s">
        <v>31</v>
      </c>
      <c r="V109" s="5">
        <f>(G109/C109)*M109</f>
        <v>0.33333333333333</v>
      </c>
    </row>
    <row r="110" spans="1:466" customHeight="1" ht="39.75">
      <c r="A110" s="641"/>
      <c r="B110" s="650"/>
      <c r="C110" s="653"/>
      <c r="D110" s="656"/>
      <c r="E110" s="516">
        <f>$C$109/3</f>
        <v>1.1904761904762</v>
      </c>
      <c r="F110" s="480" t="s">
        <v>283</v>
      </c>
      <c r="G110" s="510">
        <f>E110/1</f>
        <v>1.1904761904762</v>
      </c>
      <c r="H110" s="535">
        <v>0.0024</v>
      </c>
      <c r="I110" s="602">
        <v>0.0029</v>
      </c>
      <c r="J110" s="286">
        <f>H110-I110</f>
        <v>-0.0005</v>
      </c>
      <c r="K110" s="356">
        <v>0.0121</v>
      </c>
      <c r="L110" s="357">
        <f>I110+K110</f>
        <v>0.015</v>
      </c>
      <c r="M110" s="51">
        <v>-0.17241379310345</v>
      </c>
      <c r="N110" s="635"/>
      <c r="O110" s="638"/>
      <c r="P110" s="640"/>
      <c r="Q110" s="358" t="s">
        <v>284</v>
      </c>
      <c r="R110" s="371" t="s">
        <v>285</v>
      </c>
      <c r="S110" s="111">
        <v>0.015</v>
      </c>
      <c r="T110" s="5">
        <f>IF(I110&gt;=0.015,0,((0.015-I110)*(10/10)))</f>
        <v>0.0121</v>
      </c>
      <c r="U110" s="5" t="s">
        <v>31</v>
      </c>
      <c r="V110" s="5">
        <f>(G110/C109)*M110</f>
        <v>-0.057471264367816</v>
      </c>
    </row>
    <row r="111" spans="1:466" customHeight="1" ht="41.7">
      <c r="A111" s="641"/>
      <c r="B111" s="651"/>
      <c r="C111" s="654"/>
      <c r="D111" s="657"/>
      <c r="E111" s="517">
        <f>$C$109/3</f>
        <v>1.1904761904762</v>
      </c>
      <c r="F111" s="467" t="s">
        <v>286</v>
      </c>
      <c r="G111" s="511">
        <f>E111/1</f>
        <v>1.1904761904762</v>
      </c>
      <c r="H111" s="581">
        <v>1</v>
      </c>
      <c r="I111" s="603">
        <v>1</v>
      </c>
      <c r="J111" s="347">
        <f>H111-I111</f>
        <v>0</v>
      </c>
      <c r="K111" s="296">
        <v>0</v>
      </c>
      <c r="L111" s="348">
        <f>I111+K111</f>
        <v>1</v>
      </c>
      <c r="M111" s="59">
        <v>1</v>
      </c>
      <c r="N111" s="636"/>
      <c r="O111" s="639"/>
      <c r="P111" s="633"/>
      <c r="Q111" s="359" t="s">
        <v>39</v>
      </c>
      <c r="R111" s="181"/>
      <c r="S111" s="360">
        <v>1</v>
      </c>
      <c r="T111" s="5">
        <f>(1-I111)*(10/10)</f>
        <v>0</v>
      </c>
      <c r="U111" s="5" t="s">
        <v>31</v>
      </c>
      <c r="V111" s="5">
        <f>(G111/C109)*M111</f>
        <v>0.33333333333333</v>
      </c>
      <c r="W111" s="5">
        <f>SUM(V109:V111)</f>
        <v>0.60919540229885</v>
      </c>
      <c r="X111" s="629">
        <f>IF((W111)&gt;=1,3.571428,IF((W111)&lt;=0,0,(W111)*3.571428))</f>
        <v>2.1756975172414</v>
      </c>
    </row>
    <row r="112" spans="1:466" customHeight="1" ht="18">
      <c r="A112" s="22"/>
      <c r="B112" s="775" t="s">
        <v>287</v>
      </c>
      <c r="C112" s="775"/>
      <c r="D112" s="775"/>
      <c r="E112" s="775"/>
      <c r="F112" s="775"/>
      <c r="G112" s="361"/>
      <c r="H112" s="604"/>
      <c r="I112" s="605"/>
      <c r="J112" s="361"/>
      <c r="K112" s="362"/>
      <c r="L112" s="362"/>
      <c r="M112" s="363"/>
      <c r="N112" s="214">
        <f>(N113+N114+N115)/3</f>
        <v>0.30367343304843</v>
      </c>
      <c r="O112" s="215">
        <f>(O113+O114+O115)</f>
        <v>3.2536434049359</v>
      </c>
      <c r="P112" s="37">
        <f>O112/10.714284</f>
        <v>0.30367343304843</v>
      </c>
      <c r="Q112" s="364"/>
      <c r="R112" s="365"/>
      <c r="S112" s="366"/>
    </row>
    <row r="113" spans="1:466" customHeight="1" ht="43.5">
      <c r="A113" s="47">
        <v>26</v>
      </c>
      <c r="B113" s="452" t="s">
        <v>288</v>
      </c>
      <c r="C113" s="454">
        <f>$M$6</f>
        <v>3.5714285714286</v>
      </c>
      <c r="D113" s="452" t="s">
        <v>289</v>
      </c>
      <c r="E113" s="454">
        <f>C113/1</f>
        <v>3.5714285714286</v>
      </c>
      <c r="F113" s="489" t="s">
        <v>290</v>
      </c>
      <c r="G113" s="456">
        <f>E113/1</f>
        <v>3.5714285714286</v>
      </c>
      <c r="H113" s="583">
        <v>0.0375</v>
      </c>
      <c r="I113" s="584">
        <v>0.0168</v>
      </c>
      <c r="J113" s="367">
        <f>IF(I113=H113,(H113-0.1),H113-I113)</f>
        <v>0.0207</v>
      </c>
      <c r="K113" s="270">
        <v>0.0832</v>
      </c>
      <c r="L113" s="368">
        <f>I113+K113</f>
        <v>0.1</v>
      </c>
      <c r="M113" s="369">
        <f>IF(AND(ISBLANK(H113)=TRUE,ISBLANK(I113)=TRUE),0,IF(AND(I113&gt;=0.1,H113&lt;I113),1+J113,IF(H113&gt;=0.1,(1+(H113-0.1)/10),(J113/K113))))</f>
        <v>0.24879807692308</v>
      </c>
      <c r="N113" s="272">
        <f>((G113/C113)*M113)</f>
        <v>0.24879807692308</v>
      </c>
      <c r="O113" s="142">
        <f>IF(((G113/C113)*M113)&gt;=1,3.571428,IF(((G113/C113)*M113)&lt;=0,0,((G113/C113)*M113)*3.571428))</f>
        <v>0.88856441826923</v>
      </c>
      <c r="P113" s="37">
        <f>O113/3.571428</f>
        <v>0.24879807692308</v>
      </c>
      <c r="Q113" s="370" t="s">
        <v>39</v>
      </c>
      <c r="R113" s="371" t="s">
        <v>285</v>
      </c>
      <c r="S113" s="284">
        <v>0.1</v>
      </c>
      <c r="T113" s="5">
        <f>IF(I113&gt;=0.1,0,((0.1-I113)*(10/10)))</f>
        <v>0.0832</v>
      </c>
      <c r="U113" s="5" t="s">
        <v>31</v>
      </c>
    </row>
    <row r="114" spans="1:466" customHeight="1" ht="34.8">
      <c r="A114" s="47">
        <v>27</v>
      </c>
      <c r="B114" s="452" t="s">
        <v>291</v>
      </c>
      <c r="C114" s="454">
        <f>$M$6</f>
        <v>3.5714285714286</v>
      </c>
      <c r="D114" s="452" t="s">
        <v>292</v>
      </c>
      <c r="E114" s="454">
        <f>C114/1</f>
        <v>3.5714285714286</v>
      </c>
      <c r="F114" s="489" t="s">
        <v>293</v>
      </c>
      <c r="G114" s="456">
        <f>E114/1</f>
        <v>3.5714285714286</v>
      </c>
      <c r="H114" s="557">
        <v>0.239</v>
      </c>
      <c r="I114" s="606">
        <v>0.12</v>
      </c>
      <c r="J114" s="372">
        <f>IF(I114=H114,(H114-0.75),H114-I114)</f>
        <v>0.119</v>
      </c>
      <c r="K114" s="151">
        <v>0.63</v>
      </c>
      <c r="L114" s="152">
        <f>I114+K114</f>
        <v>0.75</v>
      </c>
      <c r="M114" s="373">
        <f>IF(AND(ISBLANK(H114)=TRUE, ISBLANK(I114)=TRUE),0, IF(I114&gt;=0.75,(1+(H114-0.75)/75),(J114/K114)))</f>
        <v>0.18888888888889</v>
      </c>
      <c r="N114" s="272">
        <f>((G114/C114)*M114)</f>
        <v>0.18888888888889</v>
      </c>
      <c r="O114" s="142">
        <f>IF(((G114/C114)*M114)&gt;=1,3.571428,IF(((G114/C114)*M114)&lt;=0,0,((G114/C114)*M114)*3.571428))</f>
        <v>0.67460306666667</v>
      </c>
      <c r="P114" s="37">
        <f>O114/3.571428</f>
        <v>0.18888888888889</v>
      </c>
      <c r="Q114" s="370" t="s">
        <v>294</v>
      </c>
      <c r="R114" s="371" t="s">
        <v>285</v>
      </c>
      <c r="S114" s="374">
        <v>0.75</v>
      </c>
      <c r="T114" s="5">
        <f>IF(I114&gt;=0.75,0,((0.75-I114)*(10/10)))</f>
        <v>0.63</v>
      </c>
      <c r="U114" s="5" t="s">
        <v>31</v>
      </c>
    </row>
    <row r="115" spans="1:466" customHeight="1" ht="31.2">
      <c r="A115" s="641">
        <v>28</v>
      </c>
      <c r="B115" s="642" t="s">
        <v>295</v>
      </c>
      <c r="C115" s="644">
        <f>M6</f>
        <v>3.5714285714286</v>
      </c>
      <c r="D115" s="642" t="s">
        <v>296</v>
      </c>
      <c r="E115" s="644">
        <f>C115/1</f>
        <v>3.5714285714286</v>
      </c>
      <c r="F115" s="479" t="s">
        <v>297</v>
      </c>
      <c r="G115" s="458">
        <f>$E$115/2</f>
        <v>1.7857142857143</v>
      </c>
      <c r="H115" s="539">
        <v>0.18</v>
      </c>
      <c r="I115" s="540">
        <v>0.14</v>
      </c>
      <c r="J115" s="375">
        <f>IF(I115=H115,(0.25-H115),I115-H115)</f>
        <v>-0.04</v>
      </c>
      <c r="K115" s="81">
        <v>0</v>
      </c>
      <c r="L115" s="104">
        <f>I115-K115</f>
        <v>0.14</v>
      </c>
      <c r="M115" s="51">
        <f>IF(AND(ISBLANK(H115)=TRUE,ISBLANK(I115)=TRUE),0,IF(AND(H115=0,I115=0),0,IF(AND(H115&gt;0.25,I115&lt;0.25),(I115-H115)/I115,IF(H115&lt;=0.25,1+(0.25-H115)/0.25,(J115/K115)))))</f>
        <v>1.28</v>
      </c>
      <c r="N115" s="647">
        <f>((G115/$C$115)*M115)+((G116/$C$115)*M116)</f>
        <v>0.47333333333333</v>
      </c>
      <c r="O115" s="630">
        <f>X116</f>
        <v>1.69047592</v>
      </c>
      <c r="P115" s="632">
        <f>O115/3.571428</f>
        <v>0.47333333333333</v>
      </c>
      <c r="Q115" s="376" t="s">
        <v>298</v>
      </c>
      <c r="R115" s="371" t="s">
        <v>285</v>
      </c>
      <c r="S115" s="85">
        <v>0.14</v>
      </c>
      <c r="T115" s="5">
        <f>IF(I115&lt;=0.25,0,((0.25*I115)*(10/10)))</f>
        <v>0</v>
      </c>
      <c r="U115" s="5" t="s">
        <v>31</v>
      </c>
      <c r="V115" s="5">
        <f>(G115/C115)*M115</f>
        <v>0.64</v>
      </c>
    </row>
    <row r="116" spans="1:466" customHeight="1" ht="38.7">
      <c r="A116" s="641"/>
      <c r="B116" s="643"/>
      <c r="C116" s="645"/>
      <c r="D116" s="643"/>
      <c r="E116" s="646"/>
      <c r="F116" s="467" t="s">
        <v>299</v>
      </c>
      <c r="G116" s="460">
        <f>$E$115/2</f>
        <v>1.7857142857143</v>
      </c>
      <c r="H116" s="533">
        <v>0</v>
      </c>
      <c r="I116" s="534">
        <v>0</v>
      </c>
      <c r="J116" s="377">
        <f>IF(I116=H116,(H116-0.25),(H116-I116))</f>
        <v>-0.25</v>
      </c>
      <c r="K116" s="96">
        <v>0.75</v>
      </c>
      <c r="L116" s="97">
        <f>K116+I116</f>
        <v>0.75</v>
      </c>
      <c r="M116" s="59">
        <f>IF(AND(ISBLANK(H116)=TRUE, ISBLANK(I116)=TRUE),0, IF(I116&gt;=0.75,(1+(H116-25)/25),(J116/K116)))</f>
        <v>-0.33333333333333</v>
      </c>
      <c r="N116" s="648"/>
      <c r="O116" s="631"/>
      <c r="P116" s="633"/>
      <c r="Q116" s="378" t="s">
        <v>39</v>
      </c>
      <c r="R116" s="379" t="s">
        <v>145</v>
      </c>
      <c r="S116" s="250">
        <v>0.75</v>
      </c>
      <c r="T116" s="5">
        <f>IF(I116&gt;=0.75,0,((0.75-I116)*(10/10)))</f>
        <v>0.75</v>
      </c>
      <c r="U116" s="5" t="s">
        <v>31</v>
      </c>
      <c r="V116" s="5">
        <f>(G116/C115)*M116</f>
        <v>-0.16666666666667</v>
      </c>
      <c r="W116" s="5">
        <f>SUM(V115:V116)</f>
        <v>0.47333333333333</v>
      </c>
      <c r="X116" s="629">
        <f>IF((W116)&gt;=1,3.57148,IF((W116)&lt;=0,0, (W116)*3.571428))</f>
        <v>1.69047592</v>
      </c>
    </row>
    <row r="117" spans="1:466" customHeight="1" ht="34.35">
      <c r="A117" s="22"/>
      <c r="B117" s="519" t="s">
        <v>300</v>
      </c>
      <c r="C117" s="518">
        <f>C11+C13+C16+C23+C28+C38+C39+C40+C41+C43+C49+C52+C57+C61+C65+C74+C82+C85+C87+C89+C93+C96+C98+C102+C109+C113+C114+C115</f>
        <v>100</v>
      </c>
      <c r="D117" s="520"/>
      <c r="E117" s="518">
        <f>E11+E12+E13+E14+E15+E16+E19+E20+E21+E23+E24+E25+E26+E28+E29+E32+E35+E36+E38+E39+E40+E41+E43+E44+E45+E46+E47+E49+E50+E52+E53+E57+E59+E61+E63+E65+E66+E67+E69+E70+E74+E75+E76+E78+E82+E85+E87+E89+E90+E93+E96+E97+E98+E99+E100+E102+E103+E106+E109+E110+E111+E113+E114+E115</f>
        <v>100</v>
      </c>
      <c r="F117" s="380"/>
      <c r="G117" s="518">
        <f>G11+G12+G13+G14+G15+G16+G17+G18+G19+G20+G21+G23+G24+G25+G26+G28+G29+G30+G31+G32+G33+G34+G35+G36+G38+G39+G40+G41+G43+G44+G45+G46+G47+G49+G50+G52+G53+G54+G57+G58+G59+G61+G62+G63+G65+G66+G67+G68+G69+G70+G71+G74+G75+G76+G78+G79+G80+G82+G85+G87+G89+G90+G93+G96+G97+G98+G99+G100+G102+G103+G104+G105+G106+G109+G110+G111+G113+G114+G115+G116</f>
        <v>100.02857142857</v>
      </c>
      <c r="H117" s="381"/>
      <c r="I117" s="382"/>
      <c r="J117" s="383"/>
      <c r="K117" s="384"/>
      <c r="L117" s="385"/>
      <c r="M117" s="386"/>
      <c r="N117" s="387"/>
      <c r="O117" s="388"/>
      <c r="P117" s="388"/>
      <c r="Q117" s="389"/>
      <c r="R117" s="390"/>
      <c r="S117" s="391"/>
    </row>
    <row r="119" spans="1:466" customHeight="1" ht="15.6">
      <c r="B119" s="392"/>
    </row>
    <row r="122" spans="1:466" customHeight="1" ht="15.6">
      <c r="B122" s="392"/>
    </row>
    <row r="123" spans="1:466">
      <c r="B123" s="393"/>
    </row>
    <row r="124" spans="1:466">
      <c r="B124" s="393"/>
    </row>
    <row r="126" spans="1:466">
      <c r="F126" s="615"/>
    </row>
    <row r="127" spans="1:466">
      <c r="E127" s="394"/>
      <c r="F127" s="614"/>
    </row>
    <row r="128" spans="1:466">
      <c r="E128" s="394"/>
      <c r="F128" s="615"/>
    </row>
    <row r="129" spans="1:466">
      <c r="E129" s="394"/>
      <c r="F129" s="615"/>
    </row>
    <row r="130" spans="1:466">
      <c r="E130" s="394"/>
      <c r="F130" s="615"/>
    </row>
    <row r="131" spans="1:466">
      <c r="E131" s="394"/>
      <c r="F131" s="615"/>
    </row>
    <row r="132" spans="1:466">
      <c r="E132" s="394"/>
      <c r="F132" s="615"/>
    </row>
    <row r="133" spans="1:466">
      <c r="E133" s="394"/>
      <c r="F133" s="615"/>
    </row>
    <row r="134" spans="1:466">
      <c r="E134" s="394"/>
      <c r="F134" s="615"/>
    </row>
    <row r="135" spans="1:466">
      <c r="E135" s="394"/>
      <c r="F135" s="615"/>
    </row>
    <row r="136" spans="1:466">
      <c r="E136" s="394"/>
      <c r="F136" s="615"/>
    </row>
    <row r="137" spans="1:466">
      <c r="E137" s="394"/>
      <c r="F137" s="615"/>
    </row>
    <row r="138" spans="1:466">
      <c r="E138" s="394"/>
      <c r="F138" s="615"/>
    </row>
    <row r="139" spans="1:466">
      <c r="E139" s="394"/>
      <c r="F139" s="615"/>
    </row>
    <row r="140" spans="1:466">
      <c r="E140" s="394"/>
      <c r="F140" s="615"/>
    </row>
    <row r="141" spans="1:466">
      <c r="E141" s="394"/>
      <c r="F141" s="615"/>
    </row>
    <row r="142" spans="1:466">
      <c r="E142" s="394"/>
      <c r="F142" s="615"/>
    </row>
    <row r="143" spans="1:466">
      <c r="E143" s="394"/>
      <c r="F143" s="615"/>
    </row>
    <row r="144" spans="1:466">
      <c r="E144" s="394"/>
      <c r="F144" s="615"/>
    </row>
    <row r="145" spans="1:466">
      <c r="E145" s="394"/>
      <c r="F145" s="615"/>
    </row>
    <row r="146" spans="1:466">
      <c r="E146" s="394"/>
      <c r="F146" s="615"/>
    </row>
    <row r="147" spans="1:466">
      <c r="E147" s="394"/>
      <c r="F147" s="615"/>
    </row>
    <row r="148" spans="1:466">
      <c r="E148" s="394"/>
      <c r="F148" s="615"/>
    </row>
    <row r="149" spans="1:466">
      <c r="E149" s="394"/>
      <c r="F149" s="615"/>
    </row>
    <row r="150" spans="1:466">
      <c r="E150" s="394"/>
      <c r="F150" s="615"/>
    </row>
    <row r="151" spans="1:466">
      <c r="E151" s="394"/>
      <c r="F151" s="615"/>
    </row>
    <row r="152" spans="1:466">
      <c r="E152" s="394"/>
      <c r="F152" s="615"/>
    </row>
    <row r="153" spans="1:466">
      <c r="E153" s="394"/>
      <c r="F153" s="615"/>
    </row>
    <row r="154" spans="1:466">
      <c r="E154" s="394"/>
      <c r="F154" s="615"/>
    </row>
    <row r="155" spans="1:466">
      <c r="E155" s="394"/>
      <c r="F155" s="615"/>
    </row>
    <row r="156" spans="1:466">
      <c r="E156" s="394"/>
      <c r="F156" s="615"/>
    </row>
    <row r="157" spans="1:466">
      <c r="E157" s="394"/>
      <c r="F157" s="615"/>
    </row>
    <row r="158" spans="1:466">
      <c r="E158" s="394"/>
      <c r="F158" s="615"/>
    </row>
    <row r="159" spans="1:466">
      <c r="E159" s="394"/>
      <c r="F159" s="615"/>
    </row>
    <row r="160" spans="1:466">
      <c r="E160" s="394"/>
      <c r="F160" s="615"/>
    </row>
    <row r="161" spans="1:466">
      <c r="E161" s="394"/>
      <c r="F161" s="615"/>
    </row>
    <row r="162" spans="1:466">
      <c r="E162" s="394"/>
      <c r="F162" s="615"/>
    </row>
    <row r="163" spans="1:466">
      <c r="E163" s="394"/>
      <c r="F163" s="615"/>
    </row>
    <row r="164" spans="1:466">
      <c r="E164" s="394"/>
      <c r="F164" s="615"/>
    </row>
    <row r="165" spans="1:466">
      <c r="E165" s="394"/>
      <c r="F165" s="615"/>
    </row>
    <row r="166" spans="1:466">
      <c r="E166" s="394"/>
      <c r="F166" s="615"/>
    </row>
    <row r="167" spans="1:466">
      <c r="E167" s="394"/>
      <c r="F167" s="615"/>
    </row>
    <row r="168" spans="1:466">
      <c r="E168" s="394"/>
      <c r="F168" s="615"/>
    </row>
    <row r="169" spans="1:466">
      <c r="E169" s="394"/>
      <c r="F169" s="615"/>
    </row>
    <row r="170" spans="1:466">
      <c r="E170" s="394"/>
      <c r="F170" s="615"/>
    </row>
    <row r="171" spans="1:466">
      <c r="E171" s="394"/>
      <c r="F171" s="615"/>
    </row>
    <row r="172" spans="1:466">
      <c r="E172" s="394"/>
      <c r="F172" s="615"/>
    </row>
    <row r="173" spans="1:466">
      <c r="E173" s="394"/>
      <c r="F173" s="615"/>
    </row>
    <row r="174" spans="1:466">
      <c r="E174" s="394"/>
      <c r="F174" s="527"/>
    </row>
    <row r="175" spans="1:466">
      <c r="E175" s="394"/>
      <c r="F175" s="527"/>
    </row>
    <row r="176" spans="1:466">
      <c r="E176" s="394"/>
      <c r="F176" s="527"/>
    </row>
    <row r="177" spans="1:466">
      <c r="E177" s="394"/>
      <c r="F177" s="527"/>
    </row>
    <row r="178" spans="1:466">
      <c r="E178" s="394"/>
      <c r="F178" s="527"/>
    </row>
    <row r="179" spans="1:466">
      <c r="E179" s="394"/>
      <c r="F179" s="527"/>
    </row>
    <row r="180" spans="1:466">
      <c r="E180" s="394"/>
      <c r="F180" s="527"/>
    </row>
    <row r="181" spans="1:466">
      <c r="E181" s="394"/>
      <c r="F181" s="527"/>
    </row>
    <row r="182" spans="1:466">
      <c r="E182" s="394"/>
      <c r="F182" s="39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629e8fc99a2859653a14ea17b6aec781" sqref="D11:D21"/>
    <protectedRange name="pdc5c387bdc3efb615648fd5165f589e0" sqref="F11:F21"/>
    <protectedRange name="pd1ba727ed11f0b8cbcee43a3bb2c4f1b" sqref="F57:F59"/>
    <protectedRange name="pb4f4a22cb353ef192780275eb0d87975" sqref="F61:F63"/>
    <protectedRange name="p7d5c0de14b9941a65624886039deab38" sqref="F65:F71"/>
  </protectedRanges>
  <mergeCells>
    <mergeCell ref="O11:O12"/>
    <mergeCell ref="P11:P12"/>
    <mergeCell ref="B13:B15"/>
    <mergeCell ref="C13:C15"/>
    <mergeCell ref="N13:N15"/>
    <mergeCell ref="O13:O15"/>
    <mergeCell ref="P13:P15"/>
    <mergeCell ref="K4:M4"/>
    <mergeCell ref="B7:F7"/>
    <mergeCell ref="B9:F9"/>
    <mergeCell ref="B10:F10"/>
    <mergeCell ref="B27:F27"/>
    <mergeCell ref="A28:A31"/>
    <mergeCell ref="B28:B36"/>
    <mergeCell ref="C28:C36"/>
    <mergeCell ref="N28:N36"/>
    <mergeCell ref="A11:A12"/>
    <mergeCell ref="B11:B12"/>
    <mergeCell ref="C11:C12"/>
    <mergeCell ref="N11:N12"/>
    <mergeCell ref="O16:O21"/>
    <mergeCell ref="P16:P21"/>
    <mergeCell ref="B22:F22"/>
    <mergeCell ref="A23:A26"/>
    <mergeCell ref="B23:B26"/>
    <mergeCell ref="C23:C26"/>
    <mergeCell ref="N23:N26"/>
    <mergeCell ref="O23:O26"/>
    <mergeCell ref="P23:P26"/>
    <mergeCell ref="A16:A18"/>
    <mergeCell ref="B16:B21"/>
    <mergeCell ref="C16:C21"/>
    <mergeCell ref="D16:D18"/>
    <mergeCell ref="E16:E18"/>
    <mergeCell ref="N16:N21"/>
    <mergeCell ref="B42:F42"/>
    <mergeCell ref="A43:A47"/>
    <mergeCell ref="B43:B47"/>
    <mergeCell ref="C43:C47"/>
    <mergeCell ref="D43:D47"/>
    <mergeCell ref="N43:N47"/>
    <mergeCell ref="P28:P36"/>
    <mergeCell ref="D29:D31"/>
    <mergeCell ref="E29:E31"/>
    <mergeCell ref="D32:D34"/>
    <mergeCell ref="E32:E34"/>
    <mergeCell ref="B37:F37"/>
    <mergeCell ref="O28:O36"/>
    <mergeCell ref="B51:F51"/>
    <mergeCell ref="A52:A53"/>
    <mergeCell ref="B52:B54"/>
    <mergeCell ref="C52:C54"/>
    <mergeCell ref="N52:N54"/>
    <mergeCell ref="O52:O54"/>
    <mergeCell ref="O43:O47"/>
    <mergeCell ref="P43:P47"/>
    <mergeCell ref="Q43:Q47"/>
    <mergeCell ref="B48:F48"/>
    <mergeCell ref="A49:A50"/>
    <mergeCell ref="B49:B50"/>
    <mergeCell ref="C49:C50"/>
    <mergeCell ref="N49:N50"/>
    <mergeCell ref="O49:O50"/>
    <mergeCell ref="P49:P50"/>
    <mergeCell ref="P52:P54"/>
    <mergeCell ref="D53:D54"/>
    <mergeCell ref="E53:E54"/>
    <mergeCell ref="B55:F55"/>
    <mergeCell ref="B56:F56"/>
    <mergeCell ref="A57:A59"/>
    <mergeCell ref="B57:B59"/>
    <mergeCell ref="C57:C59"/>
    <mergeCell ref="D57:D58"/>
    <mergeCell ref="E57:E58"/>
    <mergeCell ref="N57:N59"/>
    <mergeCell ref="O57:O59"/>
    <mergeCell ref="P57:P59"/>
    <mergeCell ref="B60:F60"/>
    <mergeCell ref="B61:B63"/>
    <mergeCell ref="C61:C63"/>
    <mergeCell ref="D61:D62"/>
    <mergeCell ref="E61:E62"/>
    <mergeCell ref="N61:N63"/>
    <mergeCell ref="O61:O63"/>
    <mergeCell ref="P61:P63"/>
    <mergeCell ref="B64:F64"/>
    <mergeCell ref="A65:A71"/>
    <mergeCell ref="B65:B71"/>
    <mergeCell ref="C65:C71"/>
    <mergeCell ref="N65:N71"/>
    <mergeCell ref="O65:O71"/>
    <mergeCell ref="P65:P71"/>
    <mergeCell ref="D67:D68"/>
    <mergeCell ref="E67:E68"/>
    <mergeCell ref="P74:P80"/>
    <mergeCell ref="D77:D80"/>
    <mergeCell ref="E78:E80"/>
    <mergeCell ref="B81:F81"/>
    <mergeCell ref="D70:D71"/>
    <mergeCell ref="E70:E71"/>
    <mergeCell ref="B72:F72"/>
    <mergeCell ref="B73:F73"/>
    <mergeCell ref="A74:A80"/>
    <mergeCell ref="B74:B80"/>
    <mergeCell ref="C74:C80"/>
    <mergeCell ref="B83:F83"/>
    <mergeCell ref="B84:F84"/>
    <mergeCell ref="B86:F86"/>
    <mergeCell ref="B88:F88"/>
    <mergeCell ref="B89:B90"/>
    <mergeCell ref="C89:C90"/>
    <mergeCell ref="D89:D90"/>
    <mergeCell ref="N74:N80"/>
    <mergeCell ref="O74:O80"/>
    <mergeCell ref="B95:F95"/>
    <mergeCell ref="B96:B97"/>
    <mergeCell ref="C96:C97"/>
    <mergeCell ref="N96:N97"/>
    <mergeCell ref="O96:O97"/>
    <mergeCell ref="P96:P97"/>
    <mergeCell ref="N89:N90"/>
    <mergeCell ref="O89:O90"/>
    <mergeCell ref="P89:P90"/>
    <mergeCell ref="B91:F91"/>
    <mergeCell ref="B92:F92"/>
    <mergeCell ref="B94:F94"/>
    <mergeCell ref="N102:N106"/>
    <mergeCell ref="O102:O106"/>
    <mergeCell ref="P102:P106"/>
    <mergeCell ref="D103:D105"/>
    <mergeCell ref="E103:E105"/>
    <mergeCell ref="B98:B100"/>
    <mergeCell ref="C98:C100"/>
    <mergeCell ref="N98:N100"/>
    <mergeCell ref="O98:O100"/>
    <mergeCell ref="P98:P100"/>
    <mergeCell ref="B101:F101"/>
    <mergeCell ref="B107:F107"/>
    <mergeCell ref="B108:F108"/>
    <mergeCell ref="A109:A111"/>
    <mergeCell ref="B109:B111"/>
    <mergeCell ref="C109:C111"/>
    <mergeCell ref="D109:D111"/>
    <mergeCell ref="A102:A106"/>
    <mergeCell ref="B102:B106"/>
    <mergeCell ref="C102:C106"/>
    <mergeCell ref="O115:O116"/>
    <mergeCell ref="P115:P116"/>
    <mergeCell ref="N109:N111"/>
    <mergeCell ref="O109:O111"/>
    <mergeCell ref="P109:P111"/>
    <mergeCell ref="B112:F112"/>
    <mergeCell ref="A115:A116"/>
    <mergeCell ref="B115:B116"/>
    <mergeCell ref="C115:C116"/>
    <mergeCell ref="D115:D116"/>
    <mergeCell ref="E115:E116"/>
    <mergeCell ref="N115:N116"/>
  </mergeCells>
  <dataValidations count="137">
    <dataValidation type="list" allowBlank="1" showDropDown="0" showInputMessage="1" showErrorMessage="1" sqref="F5">
      <formula1>$F$127:$F$182</formula1>
    </dataValidation>
    <dataValidation type="list" allowBlank="1" showDropDown="0" showInputMessage="1" showErrorMessage="1" sqref="F4">
      <formula1>$F$127:$F$181</formula1>
    </dataValidation>
    <dataValidation type="date" allowBlank="1" showDropDown="0" showInputMessage="1" showErrorMessage="1" sqref="F6">
      <formula1>43466</formula1>
      <formula2>45291</formula2>
    </dataValidation>
    <dataValidation type="decimal" allowBlank="1" showDropDown="0" showInputMessage="1" showErrorMessage="1" sqref="H11">
      <formula1>0</formula1>
      <formula2>20000</formula2>
    </dataValidation>
    <dataValidation type="decimal" allowBlank="1" showDropDown="0" showInputMessage="1" showErrorMessage="1" sqref="I11">
      <formula1>0</formula1>
      <formula2>20000</formula2>
    </dataValidation>
    <dataValidation type="decimal" allowBlank="1" showDropDown="0" showInputMessage="1" showErrorMessage="1" sqref="H12">
      <formula1>0</formula1>
      <formula2>100</formula2>
    </dataValidation>
    <dataValidation type="decimal" allowBlank="1" showDropDown="0" showInputMessage="1" showErrorMessage="1" sqref="H13">
      <formula1>0</formula1>
      <formula2>100</formula2>
    </dataValidation>
    <dataValidation type="decimal" allowBlank="1" showDropDown="0" showInputMessage="1" showErrorMessage="1" sqref="H14">
      <formula1>0</formula1>
      <formula2>100</formula2>
    </dataValidation>
    <dataValidation type="decimal" allowBlank="1" showDropDown="0" showInputMessage="1" showErrorMessage="1" sqref="H15">
      <formula1>0</formula1>
      <formula2>100</formula2>
    </dataValidation>
    <dataValidation type="decimal" allowBlank="1" showDropDown="0" showInputMessage="1" showErrorMessage="1" sqref="H16">
      <formula1>0</formula1>
      <formula2>100</formula2>
    </dataValidation>
    <dataValidation type="decimal" allowBlank="1" showDropDown="0" showInputMessage="1" showErrorMessage="1" sqref="H17">
      <formula1>0</formula1>
      <formula2>100</formula2>
    </dataValidation>
    <dataValidation type="decimal" allowBlank="1" showDropDown="0" showInputMessage="1" showErrorMessage="1" sqref="H18">
      <formula1>0</formula1>
      <formula2>100</formula2>
    </dataValidation>
    <dataValidation type="decimal" allowBlank="1" showDropDown="0" showInputMessage="1" showErrorMessage="1" sqref="H19">
      <formula1>0</formula1>
      <formula2>100</formula2>
    </dataValidation>
    <dataValidation type="decimal" allowBlank="1" showDropDown="0" showInputMessage="1" showErrorMessage="1" sqref="H20">
      <formula1>0</formula1>
      <formula2>100</formula2>
    </dataValidation>
    <dataValidation type="decimal" allowBlank="1" showDropDown="0" showInputMessage="1" showErrorMessage="1" sqref="H21">
      <formula1>0</formula1>
      <formula2>100</formula2>
    </dataValidation>
    <dataValidation type="decimal" allowBlank="1" showDropDown="0" showInputMessage="1" showErrorMessage="1" sqref="I12">
      <formula1>0</formula1>
      <formula2>100</formula2>
    </dataValidation>
    <dataValidation type="decimal" allowBlank="1" showDropDown="0" showInputMessage="1" showErrorMessage="1" sqref="I13">
      <formula1>0</formula1>
      <formula2>100</formula2>
    </dataValidation>
    <dataValidation type="decimal" allowBlank="1" showDropDown="0" showInputMessage="1" showErrorMessage="1" sqref="I14">
      <formula1>0</formula1>
      <formula2>100</formula2>
    </dataValidation>
    <dataValidation type="decimal" allowBlank="1" showDropDown="0" showInputMessage="1" showErrorMessage="1" sqref="I15">
      <formula1>0</formula1>
      <formula2>100</formula2>
    </dataValidation>
    <dataValidation type="decimal" allowBlank="1" showDropDown="0" showInputMessage="1" showErrorMessage="1" sqref="I16">
      <formula1>0</formula1>
      <formula2>100</formula2>
    </dataValidation>
    <dataValidation type="decimal" allowBlank="1" showDropDown="0" showInputMessage="1" showErrorMessage="1" sqref="I17">
      <formula1>0</formula1>
      <formula2>100</formula2>
    </dataValidation>
    <dataValidation type="decimal" allowBlank="1" showDropDown="0" showInputMessage="1" showErrorMessage="1" sqref="I18">
      <formula1>0</formula1>
      <formula2>100</formula2>
    </dataValidation>
    <dataValidation type="decimal" allowBlank="1" showDropDown="0" showInputMessage="1" showErrorMessage="1" sqref="I19">
      <formula1>0</formula1>
      <formula2>100</formula2>
    </dataValidation>
    <dataValidation type="decimal" allowBlank="1" showDropDown="0" showInputMessage="1" showErrorMessage="1" sqref="I20">
      <formula1>0</formula1>
      <formula2>100</formula2>
    </dataValidation>
    <dataValidation type="decimal" allowBlank="1" showDropDown="0" showInputMessage="1" showErrorMessage="1" sqref="I21">
      <formula1>0</formula1>
      <formula2>100</formula2>
    </dataValidation>
    <dataValidation type="decimal" allowBlank="1" showDropDown="0" showInputMessage="1" showErrorMessage="1" sqref="H23">
      <formula1>0</formula1>
      <formula2>100</formula2>
    </dataValidation>
    <dataValidation type="decimal" allowBlank="1" showDropDown="0" showInputMessage="1" showErrorMessage="1" sqref="H24">
      <formula1>0</formula1>
      <formula2>100</formula2>
    </dataValidation>
    <dataValidation type="decimal" allowBlank="1" showDropDown="0" showInputMessage="1" showErrorMessage="1" sqref="H25">
      <formula1>0</formula1>
      <formula2>100</formula2>
    </dataValidation>
    <dataValidation type="decimal" allowBlank="1" showDropDown="0" showInputMessage="1" showErrorMessage="1" sqref="H26">
      <formula1>0</formula1>
      <formula2>100</formula2>
    </dataValidation>
    <dataValidation type="decimal" allowBlank="1" showDropDown="0" showInputMessage="1" showErrorMessage="1" sqref="I23">
      <formula1>0</formula1>
      <formula2>100</formula2>
    </dataValidation>
    <dataValidation type="decimal" allowBlank="1" showDropDown="0" showInputMessage="1" showErrorMessage="1" sqref="I24">
      <formula1>0</formula1>
      <formula2>100</formula2>
    </dataValidation>
    <dataValidation type="decimal" allowBlank="1" showDropDown="0" showInputMessage="1" showErrorMessage="1" sqref="I25">
      <formula1>0</formula1>
      <formula2>100</formula2>
    </dataValidation>
    <dataValidation type="decimal" allowBlank="1" showDropDown="0" showInputMessage="1" showErrorMessage="1" sqref="I26">
      <formula1>0</formula1>
      <formula2>100</formula2>
    </dataValidation>
    <dataValidation type="decimal" allowBlank="1" showDropDown="0" showInputMessage="1" showErrorMessage="1" sqref="H28">
      <formula1>0</formula1>
      <formula2>100</formula2>
    </dataValidation>
    <dataValidation type="decimal" allowBlank="1" showDropDown="0" showInputMessage="1" showErrorMessage="1" sqref="I28">
      <formula1>0</formula1>
      <formula2>100</formula2>
    </dataValidation>
    <dataValidation type="decimal" allowBlank="1" showDropDown="0" showInputMessage="1" showErrorMessage="1" sqref="H35">
      <formula1>0</formula1>
      <formula2>100</formula2>
    </dataValidation>
    <dataValidation type="decimal" allowBlank="1" showDropDown="0" showInputMessage="1" showErrorMessage="1" sqref="H36">
      <formula1>0</formula1>
      <formula2>100</formula2>
    </dataValidation>
    <dataValidation type="decimal" allowBlank="1" showDropDown="0" showInputMessage="1" showErrorMessage="1" sqref="I35">
      <formula1>0</formula1>
      <formula2>100</formula2>
    </dataValidation>
    <dataValidation type="decimal" allowBlank="1" showDropDown="0" showInputMessage="1" showErrorMessage="1" sqref="I36">
      <formula1>0</formula1>
      <formula2>100</formula2>
    </dataValidation>
    <dataValidation type="decimal" allowBlank="1" showDropDown="0" showInputMessage="1" showErrorMessage="1" sqref="H40">
      <formula1>0</formula1>
      <formula2>100</formula2>
    </dataValidation>
    <dataValidation type="decimal" allowBlank="1" showDropDown="0" showInputMessage="1" showErrorMessage="1" sqref="H41">
      <formula1>0</formula1>
      <formula2>100</formula2>
    </dataValidation>
    <dataValidation type="decimal" allowBlank="1" showDropDown="0" showInputMessage="1" showErrorMessage="1" sqref="I40">
      <formula1>0</formula1>
      <formula2>100</formula2>
    </dataValidation>
    <dataValidation type="decimal" allowBlank="1" showDropDown="0" showInputMessage="1" showErrorMessage="1" sqref="I41">
      <formula1>0</formula1>
      <formula2>100</formula2>
    </dataValidation>
    <dataValidation type="decimal" allowBlank="1" showDropDown="0" showInputMessage="1" showErrorMessage="1" sqref="H113">
      <formula1>0</formula1>
      <formula2>100</formula2>
    </dataValidation>
    <dataValidation type="decimal" allowBlank="1" showDropDown="0" showInputMessage="1" showErrorMessage="1" sqref="H114">
      <formula1>0</formula1>
      <formula2>100</formula2>
    </dataValidation>
    <dataValidation type="decimal" allowBlank="1" showDropDown="0" showInputMessage="1" showErrorMessage="1" sqref="H115">
      <formula1>0</formula1>
      <formula2>100</formula2>
    </dataValidation>
    <dataValidation type="decimal" allowBlank="1" showDropDown="0" showInputMessage="1" showErrorMessage="1" sqref="H116">
      <formula1>0</formula1>
      <formula2>100</formula2>
    </dataValidation>
    <dataValidation type="decimal" allowBlank="1" showDropDown="0" showInputMessage="1" showErrorMessage="1" sqref="I113">
      <formula1>0</formula1>
      <formula2>100</formula2>
    </dataValidation>
    <dataValidation type="decimal" allowBlank="1" showDropDown="0" showInputMessage="1" showErrorMessage="1" sqref="I114">
      <formula1>0</formula1>
      <formula2>100</formula2>
    </dataValidation>
    <dataValidation type="decimal" allowBlank="1" showDropDown="0" showInputMessage="1" showErrorMessage="1" sqref="I115">
      <formula1>0</formula1>
      <formula2>100</formula2>
    </dataValidation>
    <dataValidation type="decimal" allowBlank="1" showDropDown="0" showInputMessage="1" showErrorMessage="1" sqref="I116">
      <formula1>0</formula1>
      <formula2>100</formula2>
    </dataValidation>
    <dataValidation type="decimal" allowBlank="1" showDropDown="0" showInputMessage="1" showErrorMessage="1" sqref="H49">
      <formula1>0</formula1>
      <formula2>100</formula2>
    </dataValidation>
    <dataValidation type="decimal" allowBlank="1" showDropDown="0" showInputMessage="1" showErrorMessage="1" sqref="H50">
      <formula1>0</formula1>
      <formula2>100</formula2>
    </dataValidation>
    <dataValidation type="decimal" allowBlank="1" showDropDown="0" showInputMessage="1" showErrorMessage="1" sqref="I49">
      <formula1>0</formula1>
      <formula2>100</formula2>
    </dataValidation>
    <dataValidation type="decimal" allowBlank="1" showDropDown="0" showInputMessage="1" showErrorMessage="1" sqref="I50">
      <formula1>0</formula1>
      <formula2>100</formula2>
    </dataValidation>
    <dataValidation type="decimal" allowBlank="1" showDropDown="0" showInputMessage="1" showErrorMessage="1" sqref="H52">
      <formula1>0</formula1>
      <formula2>100</formula2>
    </dataValidation>
    <dataValidation type="decimal" allowBlank="1" showDropDown="0" showInputMessage="1" showErrorMessage="1" sqref="H53">
      <formula1>0</formula1>
      <formula2>100</formula2>
    </dataValidation>
    <dataValidation type="decimal" allowBlank="1" showDropDown="0" showInputMessage="1" showErrorMessage="1" sqref="H54">
      <formula1>0</formula1>
      <formula2>100</formula2>
    </dataValidation>
    <dataValidation type="decimal" allowBlank="1" showDropDown="0" showInputMessage="1" showErrorMessage="1" sqref="I52">
      <formula1>0</formula1>
      <formula2>100</formula2>
    </dataValidation>
    <dataValidation type="decimal" allowBlank="1" showDropDown="0" showInputMessage="1" showErrorMessage="1" sqref="I53">
      <formula1>0</formula1>
      <formula2>100</formula2>
    </dataValidation>
    <dataValidation type="decimal" allowBlank="1" showDropDown="0" showInputMessage="1" showErrorMessage="1" sqref="I54">
      <formula1>0</formula1>
      <formula2>100</formula2>
    </dataValidation>
    <dataValidation type="decimal" allowBlank="1" showDropDown="0" showInputMessage="1" showErrorMessage="1" sqref="H62">
      <formula1>0</formula1>
      <formula2>100</formula2>
    </dataValidation>
    <dataValidation type="decimal" allowBlank="1" showDropDown="0" showInputMessage="1" showErrorMessage="1" sqref="H63">
      <formula1>0</formula1>
      <formula2>100</formula2>
    </dataValidation>
    <dataValidation type="decimal" allowBlank="1" showDropDown="0" showInputMessage="1" showErrorMessage="1" sqref="I62">
      <formula1>0</formula1>
      <formula2>100</formula2>
    </dataValidation>
    <dataValidation type="decimal" allowBlank="1" showDropDown="0" showInputMessage="1" showErrorMessage="1" sqref="I63">
      <formula1>0</formula1>
      <formula2>100</formula2>
    </dataValidation>
    <dataValidation type="decimal" allowBlank="1" showDropDown="0" showInputMessage="1" showErrorMessage="1" sqref="H65">
      <formula1>0</formula1>
      <formula2>100</formula2>
    </dataValidation>
    <dataValidation type="decimal" allowBlank="1" showDropDown="0" showInputMessage="1" showErrorMessage="1" sqref="H66">
      <formula1>0</formula1>
      <formula2>100</formula2>
    </dataValidation>
    <dataValidation type="decimal" allowBlank="1" showDropDown="0" showInputMessage="1" showErrorMessage="1" sqref="I65">
      <formula1>0</formula1>
      <formula2>100</formula2>
    </dataValidation>
    <dataValidation type="decimal" allowBlank="1" showDropDown="0" showInputMessage="1" showErrorMessage="1" sqref="I66">
      <formula1>0</formula1>
      <formula2>100</formula2>
    </dataValidation>
    <dataValidation type="decimal" allowBlank="1" showDropDown="0" showInputMessage="1" showErrorMessage="1" sqref="H71">
      <formula1>0</formula1>
      <formula2>100</formula2>
    </dataValidation>
    <dataValidation type="decimal" allowBlank="1" showDropDown="0" showInputMessage="1" showErrorMessage="1" sqref="I71">
      <formula1>0</formula1>
      <formula2>100</formula2>
    </dataValidation>
    <dataValidation type="decimal" allowBlank="1" showDropDown="0" showInputMessage="1" showErrorMessage="1" sqref="H74">
      <formula1>0</formula1>
      <formula2>100</formula2>
    </dataValidation>
    <dataValidation type="decimal" allowBlank="1" showDropDown="0" showInputMessage="1" showErrorMessage="1" sqref="H75">
      <formula1>0</formula1>
      <formula2>100</formula2>
    </dataValidation>
    <dataValidation type="decimal" allowBlank="1" showDropDown="0" showInputMessage="1" showErrorMessage="1" sqref="H76">
      <formula1>0</formula1>
      <formula2>100</formula2>
    </dataValidation>
    <dataValidation type="decimal" allowBlank="1" showDropDown="0" showInputMessage="1" showErrorMessage="1" sqref="I74">
      <formula1>0</formula1>
      <formula2>100</formula2>
    </dataValidation>
    <dataValidation type="decimal" allowBlank="1" showDropDown="0" showInputMessage="1" showErrorMessage="1" sqref="I75">
      <formula1>0</formula1>
      <formula2>100</formula2>
    </dataValidation>
    <dataValidation type="decimal" allowBlank="1" showDropDown="0" showInputMessage="1" showErrorMessage="1" sqref="I76">
      <formula1>0</formula1>
      <formula2>100</formula2>
    </dataValidation>
    <dataValidation type="decimal" allowBlank="1" showDropDown="0" showInputMessage="1" showErrorMessage="1" sqref="H82">
      <formula1>0</formula1>
      <formula2>100</formula2>
    </dataValidation>
    <dataValidation type="decimal" allowBlank="1" showDropDown="0" showInputMessage="1" showErrorMessage="1" sqref="I82">
      <formula1>0</formula1>
      <formula2>100</formula2>
    </dataValidation>
    <dataValidation type="decimal" allowBlank="1" showDropDown="0" showInputMessage="1" showErrorMessage="1" sqref="H93">
      <formula1>0</formula1>
      <formula2>100</formula2>
    </dataValidation>
    <dataValidation type="decimal" allowBlank="1" showDropDown="0" showInputMessage="1" showErrorMessage="1" sqref="I93">
      <formula1>0</formula1>
      <formula2>100</formula2>
    </dataValidation>
    <dataValidation type="decimal" allowBlank="1" showDropDown="0" showInputMessage="1" showErrorMessage="1" sqref="H96">
      <formula1>0</formula1>
      <formula2>100</formula2>
    </dataValidation>
    <dataValidation type="decimal" allowBlank="1" showDropDown="0" showInputMessage="1" showErrorMessage="1" sqref="H97">
      <formula1>0</formula1>
      <formula2>100</formula2>
    </dataValidation>
    <dataValidation type="decimal" allowBlank="1" showDropDown="0" showInputMessage="1" showErrorMessage="1" sqref="H98">
      <formula1>0</formula1>
      <formula2>100</formula2>
    </dataValidation>
    <dataValidation type="decimal" allowBlank="1" showDropDown="0" showInputMessage="1" showErrorMessage="1" sqref="H99">
      <formula1>0</formula1>
      <formula2>100</formula2>
    </dataValidation>
    <dataValidation type="decimal" allowBlank="1" showDropDown="0" showInputMessage="1" showErrorMessage="1" sqref="H100">
      <formula1>0</formula1>
      <formula2>100</formula2>
    </dataValidation>
    <dataValidation type="decimal" allowBlank="1" showDropDown="0" showInputMessage="1" showErrorMessage="1" sqref="I96">
      <formula1>0</formula1>
      <formula2>100</formula2>
    </dataValidation>
    <dataValidation type="decimal" allowBlank="1" showDropDown="0" showInputMessage="1" showErrorMessage="1" sqref="I97">
      <formula1>0</formula1>
      <formula2>100</formula2>
    </dataValidation>
    <dataValidation type="decimal" allowBlank="1" showDropDown="0" showInputMessage="1" showErrorMessage="1" sqref="I98">
      <formula1>0</formula1>
      <formula2>100</formula2>
    </dataValidation>
    <dataValidation type="decimal" allowBlank="1" showDropDown="0" showInputMessage="1" showErrorMessage="1" sqref="I99">
      <formula1>0</formula1>
      <formula2>100</formula2>
    </dataValidation>
    <dataValidation type="decimal" allowBlank="1" showDropDown="0" showInputMessage="1" showErrorMessage="1" sqref="I100">
      <formula1>0</formula1>
      <formula2>100</formula2>
    </dataValidation>
    <dataValidation type="decimal" allowBlank="1" showDropDown="0" showInputMessage="1" showErrorMessage="1" sqref="H102">
      <formula1>0</formula1>
      <formula2>100</formula2>
    </dataValidation>
    <dataValidation type="decimal" allowBlank="1" showDropDown="0" showInputMessage="1" showErrorMessage="1" sqref="H103">
      <formula1>0</formula1>
      <formula2>100</formula2>
    </dataValidation>
    <dataValidation type="decimal" allowBlank="1" showDropDown="0" showInputMessage="1" showErrorMessage="1" sqref="H104">
      <formula1>0</formula1>
      <formula2>100</formula2>
    </dataValidation>
    <dataValidation type="decimal" allowBlank="1" showDropDown="0" showInputMessage="1" showErrorMessage="1" sqref="H105">
      <formula1>0</formula1>
      <formula2>100</formula2>
    </dataValidation>
    <dataValidation type="decimal" allowBlank="1" showDropDown="0" showInputMessage="1" showErrorMessage="1" sqref="H106">
      <formula1>0</formula1>
      <formula2>100</formula2>
    </dataValidation>
    <dataValidation type="decimal" allowBlank="1" showDropDown="0" showInputMessage="1" showErrorMessage="1" sqref="I102">
      <formula1>0</formula1>
      <formula2>100</formula2>
    </dataValidation>
    <dataValidation type="decimal" allowBlank="1" showDropDown="0" showInputMessage="1" showErrorMessage="1" sqref="I103">
      <formula1>0</formula1>
      <formula2>100</formula2>
    </dataValidation>
    <dataValidation type="decimal" allowBlank="1" showDropDown="0" showInputMessage="1" showErrorMessage="1" sqref="I104">
      <formula1>0</formula1>
      <formula2>100</formula2>
    </dataValidation>
    <dataValidation type="decimal" allowBlank="1" showDropDown="0" showInputMessage="1" showErrorMessage="1" sqref="I105">
      <formula1>0</formula1>
      <formula2>100</formula2>
    </dataValidation>
    <dataValidation type="decimal" allowBlank="1" showDropDown="0" showInputMessage="1" showErrorMessage="1" sqref="I106">
      <formula1>0</formula1>
      <formula2>100</formula2>
    </dataValidation>
    <dataValidation type="decimal" allowBlank="1" showDropDown="0" showInputMessage="1" showErrorMessage="1" sqref="H110">
      <formula1>0</formula1>
      <formula2>100</formula2>
    </dataValidation>
    <dataValidation type="decimal" allowBlank="1" showDropDown="0" showInputMessage="1" showErrorMessage="1" sqref="I110">
      <formula1>0</formula1>
      <formula2>100</formula2>
    </dataValidation>
    <dataValidation type="whole" allowBlank="1" showDropDown="0" showInputMessage="1" showErrorMessage="1" sqref="H29">
      <formula1>0</formula1>
      <formula2>100000</formula2>
    </dataValidation>
    <dataValidation type="whole" allowBlank="1" showDropDown="0" showInputMessage="1" showErrorMessage="1" sqref="I29">
      <formula1>0</formula1>
      <formula2>100000</formula2>
    </dataValidation>
    <dataValidation type="whole" allowBlank="1" showDropDown="0" showInputMessage="1" showErrorMessage="1" sqref="H30">
      <formula1>0</formula1>
      <formula2>1000</formula2>
    </dataValidation>
    <dataValidation type="whole" allowBlank="1" showDropDown="0" showInputMessage="1" showErrorMessage="1" sqref="H31">
      <formula1>0</formula1>
      <formula2>1000</formula2>
    </dataValidation>
    <dataValidation type="whole" allowBlank="1" showDropDown="0" showInputMessage="1" showErrorMessage="1" sqref="I30">
      <formula1>0</formula1>
      <formula2>1000</formula2>
    </dataValidation>
    <dataValidation type="whole" allowBlank="1" showDropDown="0" showInputMessage="1" showErrorMessage="1" sqref="I31">
      <formula1>0</formula1>
      <formula2>1000</formula2>
    </dataValidation>
    <dataValidation type="whole" allowBlank="1" showDropDown="0" showInputMessage="1" showErrorMessage="1" sqref="H33">
      <formula1>0</formula1>
      <formula2>1000</formula2>
    </dataValidation>
    <dataValidation type="whole" allowBlank="1" showDropDown="0" showInputMessage="1" showErrorMessage="1" sqref="H34">
      <formula1>0</formula1>
      <formula2>1000</formula2>
    </dataValidation>
    <dataValidation type="whole" allowBlank="1" showDropDown="0" showInputMessage="1" showErrorMessage="1" sqref="I33">
      <formula1>0</formula1>
      <formula2>1000</formula2>
    </dataValidation>
    <dataValidation type="whole" allowBlank="1" showDropDown="0" showInputMessage="1" showErrorMessage="1" sqref="I34">
      <formula1>0</formula1>
      <formula2>1000</formula2>
    </dataValidation>
    <dataValidation type="decimal" allowBlank="1" showDropDown="0" showInputMessage="1" showErrorMessage="1" sqref="H38">
      <formula1>-20</formula1>
      <formula2>20</formula2>
    </dataValidation>
    <dataValidation type="decimal" allowBlank="1" showDropDown="0" showInputMessage="1" showErrorMessage="1" sqref="I38">
      <formula1>-20</formula1>
      <formula2>20</formula2>
    </dataValidation>
    <dataValidation type="decimal" allowBlank="1" showDropDown="0" showInputMessage="1" showErrorMessage="1" sqref="H39">
      <formula1>0</formula1>
      <formula2>10</formula2>
    </dataValidation>
    <dataValidation type="decimal" allowBlank="1" showDropDown="0" showInputMessage="1" showErrorMessage="1" sqref="I39">
      <formula1>0</formula1>
      <formula2>10</formula2>
    </dataValidation>
    <dataValidation type="whole" allowBlank="1" showDropDown="0" showInputMessage="1" showErrorMessage="1" sqref="H61">
      <formula1>0</formula1>
      <formula2>1</formula2>
    </dataValidation>
    <dataValidation type="whole" allowBlank="1" showDropDown="0" showInputMessage="1" showErrorMessage="1" sqref="I61">
      <formula1>0</formula1>
      <formula2>1</formula2>
    </dataValidation>
    <dataValidation type="whole" allowBlank="1" showDropDown="0" showInputMessage="1" showErrorMessage="1" sqref="H67">
      <formula1>0</formula1>
      <formula2>1</formula2>
    </dataValidation>
    <dataValidation type="whole" allowBlank="1" showDropDown="0" showInputMessage="1" showErrorMessage="1" sqref="H68">
      <formula1>0</formula1>
      <formula2>1</formula2>
    </dataValidation>
    <dataValidation type="whole" allowBlank="1" showDropDown="0" showInputMessage="1" showErrorMessage="1" sqref="I67">
      <formula1>0</formula1>
      <formula2>1</formula2>
    </dataValidation>
    <dataValidation type="whole" allowBlank="1" showDropDown="0" showInputMessage="1" showErrorMessage="1" sqref="I68">
      <formula1>0</formula1>
      <formula2>1</formula2>
    </dataValidation>
    <dataValidation type="whole" allowBlank="1" showDropDown="0" showInputMessage="1" showErrorMessage="1" sqref="H78">
      <formula1>0</formula1>
      <formula2>1</formula2>
    </dataValidation>
    <dataValidation type="whole" allowBlank="1" showDropDown="0" showInputMessage="1" showErrorMessage="1" sqref="H79">
      <formula1>0</formula1>
      <formula2>1</formula2>
    </dataValidation>
    <dataValidation type="whole" allowBlank="1" showDropDown="0" showInputMessage="1" showErrorMessage="1" sqref="H80">
      <formula1>0</formula1>
      <formula2>1</formula2>
    </dataValidation>
    <dataValidation type="whole" allowBlank="1" showDropDown="0" showInputMessage="1" showErrorMessage="1" sqref="I78">
      <formula1>0</formula1>
      <formula2>1</formula2>
    </dataValidation>
    <dataValidation type="whole" allowBlank="1" showDropDown="0" showInputMessage="1" showErrorMessage="1" sqref="I79">
      <formula1>0</formula1>
      <formula2>1</formula2>
    </dataValidation>
    <dataValidation type="whole" allowBlank="1" showDropDown="0" showInputMessage="1" showErrorMessage="1" sqref="I80">
      <formula1>0</formula1>
      <formula2>1</formula2>
    </dataValidation>
    <dataValidation type="whole" allowBlank="1" showDropDown="0" showInputMessage="1" showErrorMessage="1" sqref="H89">
      <formula1>0</formula1>
      <formula2>1</formula2>
    </dataValidation>
    <dataValidation type="whole" allowBlank="1" showDropDown="0" showInputMessage="1" showErrorMessage="1" sqref="I89">
      <formula1>0</formula1>
      <formula2>1</formula2>
    </dataValidation>
    <dataValidation type="whole" allowBlank="1" showDropDown="0" showInputMessage="1" showErrorMessage="1" sqref="H109">
      <formula1>0</formula1>
      <formula2>1</formula2>
    </dataValidation>
    <dataValidation type="whole" allowBlank="1" showDropDown="0" showInputMessage="1" showErrorMessage="1" sqref="I109">
      <formula1>0</formula1>
      <formula2>1</formula2>
    </dataValidation>
    <dataValidation type="whole" allowBlank="1" showDropDown="0" showInputMessage="1" showErrorMessage="1" sqref="H111">
      <formula1>0</formula1>
      <formula2>1</formula2>
    </dataValidation>
    <dataValidation type="whole" allowBlank="1" showDropDown="0" showInputMessage="1" showErrorMessage="1" sqref="I111">
      <formula1>0</formula1>
      <formula2>1</formula2>
    </dataValidation>
    <dataValidation type="decimal" allowBlank="1" showDropDown="0" showInputMessage="1" showErrorMessage="1" sqref="H70">
      <formula1>0</formula1>
      <formula2>1</formula2>
    </dataValidation>
    <dataValidation type="decimal" allowBlank="1" showDropDown="0" showInputMessage="1" showErrorMessage="1" sqref="I70">
      <formula1>0</formula1>
      <formula2>1</formula2>
    </dataValidation>
  </dataValidation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Kisira</dc:creator>
  <cp:lastModifiedBy>Muhammed Anees</cp:lastModifiedBy>
  <dcterms:created xsi:type="dcterms:W3CDTF">2023-03-21T10:52:28+02:00</dcterms:created>
  <dcterms:modified xsi:type="dcterms:W3CDTF">2023-11-28T14:32:33+02:00</dcterms:modified>
  <dc:title/>
  <dc:description/>
  <dc:subject/>
  <cp:keywords/>
  <cp:category/>
</cp:coreProperties>
</file>